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255" windowWidth="15195" windowHeight="11400" tabRatio="712"/>
  </bookViews>
  <sheets>
    <sheet name="КЗ на печать" sheetId="55" r:id="rId1"/>
    <sheet name="Пр 1.1 ЗП 2012" sheetId="59" r:id="rId2"/>
    <sheet name="Пр 1.2 ЗП 2013" sheetId="62" r:id="rId3"/>
    <sheet name="Пр 2 Расш накл расх" sheetId="57" r:id="rId4"/>
    <sheet name="КЗ" sheetId="42" r:id="rId5"/>
    <sheet name="По Настройке" sheetId="60" r:id="rId6"/>
    <sheet name="Накладные 20121129" sheetId="50" r:id="rId7"/>
    <sheet name="ФОТ 20121129" sheetId="49" r:id="rId8"/>
    <sheet name="По проектам 2011-2012" sheetId="30" r:id="rId9"/>
    <sheet name="Трудоемкость" sheetId="21" r:id="rId10"/>
    <sheet name="СЦ этапы" sheetId="51" r:id="rId11"/>
    <sheet name="Пр1 РасшФОТ (2)" sheetId="53" r:id="rId12"/>
    <sheet name="Пр2 РасшНАКЛ " sheetId="52" r:id="rId13"/>
    <sheet name="ЭкПоказатели" sheetId="54" r:id="rId14"/>
    <sheet name="Лист7" sheetId="61" r:id="rId15"/>
  </sheets>
  <externalReferences>
    <externalReference r:id="rId16"/>
    <externalReference r:id="rId17"/>
    <externalReference r:id="rId18"/>
    <externalReference r:id="rId19"/>
    <externalReference r:id="rId20"/>
    <externalReference r:id="rId21"/>
    <externalReference r:id="rId22"/>
  </externalReferences>
  <definedNames>
    <definedName name="_xlnm._FilterDatabase" localSheetId="5" hidden="1">'По Настройке'!$BQ$1:$BQ$37</definedName>
    <definedName name="_xlnm._FilterDatabase" localSheetId="8" hidden="1">'По проектам 2011-2012'!$PS$1:$PS$76</definedName>
    <definedName name="A" localSheetId="0">#REF!</definedName>
    <definedName name="A" localSheetId="6">#REF!</definedName>
    <definedName name="A" localSheetId="5">#REF!</definedName>
    <definedName name="A" localSheetId="8">#REF!</definedName>
    <definedName name="A" localSheetId="1">#REF!</definedName>
    <definedName name="A" localSheetId="2">#REF!</definedName>
    <definedName name="A" localSheetId="3">#REF!</definedName>
    <definedName name="A" localSheetId="11">#REF!</definedName>
    <definedName name="A" localSheetId="12">#REF!</definedName>
    <definedName name="A" localSheetId="10">#REF!</definedName>
    <definedName name="A" localSheetId="13">#REF!</definedName>
    <definedName name="A">#REF!</definedName>
    <definedName name="TRS" localSheetId="0">#REF!</definedName>
    <definedName name="TRS" localSheetId="6">#REF!</definedName>
    <definedName name="TRS" localSheetId="5">#REF!</definedName>
    <definedName name="TRS" localSheetId="1">#REF!</definedName>
    <definedName name="TRS" localSheetId="2">#REF!</definedName>
    <definedName name="TRS" localSheetId="3">#REF!</definedName>
    <definedName name="TRS">#REF!</definedName>
    <definedName name="TRS_нов" localSheetId="0">#REF!</definedName>
    <definedName name="TRS_нов" localSheetId="5">#REF!</definedName>
    <definedName name="TRS_нов" localSheetId="1">#REF!</definedName>
    <definedName name="TRS_нов" localSheetId="2">#REF!</definedName>
    <definedName name="TRS_нов" localSheetId="3">#REF!</definedName>
    <definedName name="TRS_нов">#REF!</definedName>
    <definedName name="Б" localSheetId="4">'[1]Численность общая 2011'!#REF!</definedName>
    <definedName name="Б" localSheetId="5">'[1]Численность общая 2011'!#REF!</definedName>
    <definedName name="Б" localSheetId="1">'[1]Численность общая 2011'!#REF!</definedName>
    <definedName name="Б" localSheetId="2">'[1]Численность общая 2011'!#REF!</definedName>
    <definedName name="Б">'[1]Численность общая 2011'!#REF!</definedName>
    <definedName name="в" localSheetId="5">'[2]Численность общая 2011'!#REF!</definedName>
    <definedName name="в" localSheetId="1">'[2]Численность общая 2011'!#REF!</definedName>
    <definedName name="в" localSheetId="2">'[2]Численность общая 2011'!#REF!</definedName>
    <definedName name="в">'[2]Численность общая 2011'!#REF!</definedName>
    <definedName name="зп_осн" localSheetId="0">#REF!</definedName>
    <definedName name="зп_осн" localSheetId="6">#REF!</definedName>
    <definedName name="зп_осн" localSheetId="5">#REF!</definedName>
    <definedName name="зп_осн" localSheetId="1">#REF!</definedName>
    <definedName name="зп_осн" localSheetId="2">#REF!</definedName>
    <definedName name="зп_осн" localSheetId="3">#REF!</definedName>
    <definedName name="зп_осн">#REF!</definedName>
    <definedName name="зп_осн_5" localSheetId="0">#REF!</definedName>
    <definedName name="зп_осн_5" localSheetId="5">#REF!</definedName>
    <definedName name="зп_осн_5" localSheetId="1">#REF!</definedName>
    <definedName name="зп_осн_5" localSheetId="2">#REF!</definedName>
    <definedName name="зп_осн_5" localSheetId="3">#REF!</definedName>
    <definedName name="зп_осн_5">#REF!</definedName>
    <definedName name="зп_осн_нов" localSheetId="0">#REF!</definedName>
    <definedName name="зп_осн_нов" localSheetId="5">#REF!</definedName>
    <definedName name="зп_осн_нов" localSheetId="1">#REF!</definedName>
    <definedName name="зп_осн_нов" localSheetId="2">#REF!</definedName>
    <definedName name="зп_осн_нов" localSheetId="3">#REF!</definedName>
    <definedName name="зп_осн_нов">#REF!</definedName>
    <definedName name="итог_зп" localSheetId="0">#REF!</definedName>
    <definedName name="итог_зп" localSheetId="5">#REF!</definedName>
    <definedName name="итог_зп" localSheetId="1">#REF!</definedName>
    <definedName name="итог_зп" localSheetId="2">#REF!</definedName>
    <definedName name="итог_зп" localSheetId="3">#REF!</definedName>
    <definedName name="итог_зп">#REF!</definedName>
    <definedName name="итог_тр" localSheetId="0">#REF!</definedName>
    <definedName name="итог_тр" localSheetId="5">#REF!</definedName>
    <definedName name="итог_тр" localSheetId="1">#REF!</definedName>
    <definedName name="итог_тр" localSheetId="2">#REF!</definedName>
    <definedName name="итог_тр" localSheetId="3">#REF!</definedName>
    <definedName name="итог_тр">#REF!</definedName>
    <definedName name="количество" localSheetId="0">#REF!</definedName>
    <definedName name="количество" localSheetId="5">#REF!</definedName>
    <definedName name="количество" localSheetId="1">#REF!</definedName>
    <definedName name="количество" localSheetId="2">#REF!</definedName>
    <definedName name="количество" localSheetId="3">#REF!</definedName>
    <definedName name="количество">#REF!</definedName>
    <definedName name="_xlnm.Print_Area" localSheetId="0">'КЗ на печать'!$A$1:$O$39</definedName>
    <definedName name="_xlnm.Print_Area" localSheetId="6">'Накладные 20121129'!#REF!</definedName>
    <definedName name="_xlnm.Print_Area" localSheetId="2">'Пр 1.2 ЗП 2013'!$A$1:$H$27</definedName>
    <definedName name="_xlnm.Print_Area" localSheetId="12">'Пр2 РасшНАКЛ '!$A$1:$C$27</definedName>
    <definedName name="_xlnm.Print_Area" localSheetId="10">'СЦ этапы'!$B$1:$F$38</definedName>
    <definedName name="_xlnm.Print_Area" localSheetId="13">ЭкПоказатели!$A$1:$C$35</definedName>
    <definedName name="подразд" localSheetId="0">#REF!</definedName>
    <definedName name="подразд" localSheetId="6">#REF!</definedName>
    <definedName name="подразд" localSheetId="5">#REF!</definedName>
    <definedName name="подразд" localSheetId="1">#REF!</definedName>
    <definedName name="подразд" localSheetId="2">#REF!</definedName>
    <definedName name="подразд" localSheetId="3">#REF!</definedName>
    <definedName name="подразд">#REF!</definedName>
    <definedName name="ср_зп_баз" localSheetId="0">#REF!</definedName>
    <definedName name="ср_зп_баз" localSheetId="5">#REF!</definedName>
    <definedName name="ср_зп_баз" localSheetId="1">#REF!</definedName>
    <definedName name="ср_зп_баз" localSheetId="2">#REF!</definedName>
    <definedName name="ср_зп_баз" localSheetId="3">#REF!</definedName>
    <definedName name="ср_зп_баз">#REF!</definedName>
    <definedName name="ср_зп_баз_нов" localSheetId="0">#REF!</definedName>
    <definedName name="ср_зп_баз_нов" localSheetId="5">#REF!</definedName>
    <definedName name="ср_зп_баз_нов" localSheetId="1">#REF!</definedName>
    <definedName name="ср_зп_баз_нов" localSheetId="2">#REF!</definedName>
    <definedName name="ср_зп_баз_нов" localSheetId="3">#REF!</definedName>
    <definedName name="ср_зп_баз_нов">#REF!</definedName>
    <definedName name="сумм_к_аг" localSheetId="0">#REF!</definedName>
    <definedName name="сумм_к_аг" localSheetId="5">#REF!</definedName>
    <definedName name="сумм_к_аг" localSheetId="1">#REF!</definedName>
    <definedName name="сумм_к_аг" localSheetId="2">#REF!</definedName>
    <definedName name="сумм_к_аг" localSheetId="3">#REF!</definedName>
    <definedName name="сумм_к_аг">#REF!</definedName>
    <definedName name="сумм_ком" localSheetId="0">#REF!</definedName>
    <definedName name="сумм_ком" localSheetId="5">#REF!</definedName>
    <definedName name="сумм_ком" localSheetId="1">#REF!</definedName>
    <definedName name="сумм_ком" localSheetId="2">#REF!</definedName>
    <definedName name="сумм_ком" localSheetId="3">#REF!</definedName>
    <definedName name="сумм_ком">#REF!</definedName>
    <definedName name="сумм_мат" localSheetId="0">#REF!</definedName>
    <definedName name="сумм_мат" localSheetId="5">#REF!</definedName>
    <definedName name="сумм_мат" localSheetId="1">#REF!</definedName>
    <definedName name="сумм_мат" localSheetId="2">#REF!</definedName>
    <definedName name="сумм_мат" localSheetId="3">#REF!</definedName>
    <definedName name="сумм_мат">#REF!</definedName>
    <definedName name="сумм_сп_об" localSheetId="0">#REF!</definedName>
    <definedName name="сумм_сп_об" localSheetId="5">#REF!</definedName>
    <definedName name="сумм_сп_об" localSheetId="1">#REF!</definedName>
    <definedName name="сумм_сп_об" localSheetId="2">#REF!</definedName>
    <definedName name="сумм_сп_об" localSheetId="3">#REF!</definedName>
    <definedName name="сумм_сп_об">#REF!</definedName>
    <definedName name="ФБ" localSheetId="4">'[2]Численность общая 2011'!#REF!</definedName>
    <definedName name="ФБ" localSheetId="6">'[3]Численность общая 2011'!#REF!</definedName>
    <definedName name="ФБ" localSheetId="5">'[2]Численность общая 2011'!#REF!</definedName>
    <definedName name="ФБ" localSheetId="1">'[2]Численность общая 2011'!#REF!</definedName>
    <definedName name="ФБ" localSheetId="2">'[2]Численность общая 2011'!#REF!</definedName>
    <definedName name="ФБ">'[2]Численность общая 2011'!#REF!</definedName>
    <definedName name="ФФ" localSheetId="4">'[2]Численность общая 2011'!#REF!</definedName>
    <definedName name="ФФ" localSheetId="6">'[3]Численность общая 2011'!#REF!</definedName>
    <definedName name="ФФ" localSheetId="5">'[2]Численность общая 2011'!#REF!</definedName>
    <definedName name="ФФ" localSheetId="2">'[2]Численность общая 2011'!#REF!</definedName>
    <definedName name="ФФ">'[2]Численность общая 2011'!#REF!</definedName>
    <definedName name="цена_д">[4]Договор!$B$242</definedName>
    <definedName name="эт_1">[4]Договор!$B$246</definedName>
  </definedNames>
  <calcPr calcId="145621" fullPrecision="0"/>
</workbook>
</file>

<file path=xl/calcChain.xml><?xml version="1.0" encoding="utf-8"?>
<calcChain xmlns="http://schemas.openxmlformats.org/spreadsheetml/2006/main">
  <c r="F1" i="50" l="1"/>
  <c r="F49" i="50"/>
  <c r="J28" i="42"/>
  <c r="J25" i="42"/>
  <c r="J28" i="55" l="1"/>
  <c r="J25" i="55"/>
  <c r="C21" i="62"/>
  <c r="B21" i="62"/>
  <c r="C20" i="62"/>
  <c r="B20" i="62"/>
  <c r="C19" i="62"/>
  <c r="B19" i="62"/>
  <c r="F18" i="59"/>
  <c r="D18" i="59"/>
  <c r="C14" i="59"/>
  <c r="C15" i="59"/>
  <c r="C16" i="59"/>
  <c r="C17" i="59"/>
  <c r="C18" i="59"/>
  <c r="C19" i="59"/>
  <c r="C20" i="59"/>
  <c r="C21" i="59"/>
  <c r="C22" i="59"/>
  <c r="C23" i="59"/>
  <c r="C24" i="59"/>
  <c r="C25" i="59"/>
  <c r="C13" i="59"/>
  <c r="B14" i="59"/>
  <c r="B15" i="59"/>
  <c r="B16" i="59"/>
  <c r="B17" i="59"/>
  <c r="B18" i="59"/>
  <c r="B19" i="59"/>
  <c r="B20" i="59"/>
  <c r="B21" i="59"/>
  <c r="B22" i="59"/>
  <c r="B23" i="59"/>
  <c r="B24" i="59"/>
  <c r="B25" i="59"/>
  <c r="B13" i="59"/>
  <c r="P46" i="50" l="1"/>
  <c r="G52" i="50"/>
  <c r="G51" i="50"/>
  <c r="E34" i="50"/>
  <c r="C12" i="57" s="1"/>
  <c r="F34" i="50"/>
  <c r="C13" i="57" s="1"/>
  <c r="G34" i="50"/>
  <c r="C14" i="57" s="1"/>
  <c r="H34" i="50"/>
  <c r="C15" i="57" s="1"/>
  <c r="I34" i="50"/>
  <c r="C16" i="57" s="1"/>
  <c r="J34" i="50"/>
  <c r="C17" i="57" s="1"/>
  <c r="K34" i="50"/>
  <c r="C18" i="57" s="1"/>
  <c r="D34" i="50"/>
  <c r="C11" i="57" s="1"/>
  <c r="G38" i="50"/>
  <c r="L34" i="50" l="1"/>
  <c r="J35" i="50" s="1"/>
  <c r="K35" i="50" l="1"/>
  <c r="H35" i="50"/>
  <c r="G35" i="50"/>
  <c r="E35" i="50"/>
  <c r="F35" i="50"/>
  <c r="L35" i="50" s="1"/>
  <c r="I35" i="50"/>
  <c r="D35" i="50"/>
  <c r="L33" i="50" l="1"/>
  <c r="L32" i="50"/>
  <c r="L31" i="50"/>
  <c r="L30" i="50"/>
  <c r="L29" i="50"/>
  <c r="L28" i="50"/>
  <c r="L27" i="50"/>
  <c r="L26" i="50"/>
  <c r="L25" i="50"/>
  <c r="L24" i="50"/>
  <c r="L23" i="50"/>
  <c r="L22" i="50"/>
  <c r="BP31" i="60" l="1"/>
  <c r="BQ31" i="60" s="1"/>
  <c r="W10" i="60" l="1"/>
  <c r="G18" i="59" s="1"/>
  <c r="R10" i="60"/>
  <c r="E18" i="59" s="1"/>
  <c r="BM31" i="60"/>
  <c r="BL31" i="60"/>
  <c r="BH31" i="60"/>
  <c r="BG31" i="60"/>
  <c r="BC31" i="60"/>
  <c r="BB31" i="60"/>
  <c r="AX31" i="60"/>
  <c r="AW31" i="60"/>
  <c r="AS31" i="60"/>
  <c r="AR31" i="60"/>
  <c r="AN31" i="60"/>
  <c r="AI31" i="60"/>
  <c r="AD31" i="60"/>
  <c r="Y31" i="60"/>
  <c r="X31" i="60"/>
  <c r="T31" i="60"/>
  <c r="S31" i="60"/>
  <c r="O31" i="60"/>
  <c r="N31" i="60"/>
  <c r="E31" i="60"/>
  <c r="D31" i="60"/>
  <c r="BN29" i="60"/>
  <c r="BN32" i="60" s="1"/>
  <c r="BM29" i="60"/>
  <c r="BI29" i="60"/>
  <c r="BI32" i="60" s="1"/>
  <c r="BH29" i="60"/>
  <c r="BH32" i="60" s="1"/>
  <c r="BD29" i="60"/>
  <c r="BD32" i="60" s="1"/>
  <c r="BC29" i="60"/>
  <c r="AY29" i="60"/>
  <c r="AY32" i="60" s="1"/>
  <c r="AX29" i="60"/>
  <c r="AX32" i="60" s="1"/>
  <c r="AT29" i="60"/>
  <c r="AT32" i="60" s="1"/>
  <c r="AS29" i="60"/>
  <c r="AO29" i="60"/>
  <c r="AO32" i="60" s="1"/>
  <c r="AN29" i="60"/>
  <c r="AN32" i="60" s="1"/>
  <c r="AJ29" i="60"/>
  <c r="AJ32" i="60" s="1"/>
  <c r="AE29" i="60"/>
  <c r="AE32" i="60" s="1"/>
  <c r="Z29" i="60"/>
  <c r="Z32" i="60" s="1"/>
  <c r="Y29" i="60"/>
  <c r="U29" i="60"/>
  <c r="U32" i="60" s="1"/>
  <c r="T29" i="60"/>
  <c r="T32" i="60" s="1"/>
  <c r="P29" i="60"/>
  <c r="P32" i="60" s="1"/>
  <c r="G29" i="60"/>
  <c r="G32" i="60" s="1"/>
  <c r="F29" i="60"/>
  <c r="F32" i="60" s="1"/>
  <c r="E29" i="60"/>
  <c r="E32" i="60" s="1"/>
  <c r="BQ28" i="60"/>
  <c r="BO28" i="60"/>
  <c r="BJ28" i="60"/>
  <c r="BE28" i="60"/>
  <c r="AZ28" i="60"/>
  <c r="AU28" i="60"/>
  <c r="AP28" i="60"/>
  <c r="AK28" i="60"/>
  <c r="AF28" i="60"/>
  <c r="AA28" i="60"/>
  <c r="V28" i="60"/>
  <c r="Q28" i="60"/>
  <c r="J28" i="60"/>
  <c r="I28" i="60"/>
  <c r="H28" i="60"/>
  <c r="BQ27" i="60"/>
  <c r="BO27" i="60"/>
  <c r="BJ27" i="60"/>
  <c r="BE27" i="60"/>
  <c r="AZ27" i="60"/>
  <c r="AU27" i="60"/>
  <c r="BQ26" i="60"/>
  <c r="BO26" i="60"/>
  <c r="BJ26" i="60"/>
  <c r="BE26" i="60"/>
  <c r="AZ26" i="60"/>
  <c r="AU26" i="60"/>
  <c r="AP26" i="60"/>
  <c r="AK26" i="60"/>
  <c r="AF26" i="60"/>
  <c r="AA26" i="60"/>
  <c r="V26" i="60"/>
  <c r="N26" i="60"/>
  <c r="J26" i="60"/>
  <c r="I26" i="60"/>
  <c r="H26" i="60"/>
  <c r="BQ25" i="60"/>
  <c r="BO25" i="60"/>
  <c r="BJ25" i="60"/>
  <c r="BE25" i="60"/>
  <c r="AZ25" i="60"/>
  <c r="AU25" i="60"/>
  <c r="AP25" i="60"/>
  <c r="AK25" i="60"/>
  <c r="AF25" i="60"/>
  <c r="AA25" i="60"/>
  <c r="V25" i="60"/>
  <c r="N25" i="60"/>
  <c r="J25" i="60"/>
  <c r="I25" i="60"/>
  <c r="H25" i="60"/>
  <c r="BQ24" i="60"/>
  <c r="BO24" i="60"/>
  <c r="BJ24" i="60"/>
  <c r="BE24" i="60"/>
  <c r="AZ24" i="60"/>
  <c r="AU24" i="60"/>
  <c r="AP24" i="60"/>
  <c r="AK24" i="60"/>
  <c r="AF24" i="60"/>
  <c r="AA24" i="60"/>
  <c r="V24" i="60"/>
  <c r="Q24" i="60"/>
  <c r="J24" i="60"/>
  <c r="I24" i="60"/>
  <c r="H24" i="60"/>
  <c r="BQ23" i="60"/>
  <c r="BO23" i="60"/>
  <c r="BJ23" i="60"/>
  <c r="BE23" i="60"/>
  <c r="AZ23" i="60"/>
  <c r="AU23" i="60"/>
  <c r="AP23" i="60"/>
  <c r="AK23" i="60"/>
  <c r="AF23" i="60"/>
  <c r="AA23" i="60"/>
  <c r="V23" i="60"/>
  <c r="O23" i="60"/>
  <c r="N23" i="60"/>
  <c r="J23" i="60"/>
  <c r="I23" i="60"/>
  <c r="H23" i="60"/>
  <c r="BQ22" i="60"/>
  <c r="BL22" i="60"/>
  <c r="BO22" i="60" s="1"/>
  <c r="BG22" i="60"/>
  <c r="BJ22" i="60" s="1"/>
  <c r="BB22" i="60"/>
  <c r="BE22" i="60" s="1"/>
  <c r="AZ22" i="60"/>
  <c r="AR22" i="60"/>
  <c r="AM22" i="60"/>
  <c r="AH22" i="60"/>
  <c r="AC22" i="60"/>
  <c r="X22" i="60"/>
  <c r="AA22" i="60" s="1"/>
  <c r="S22" i="60"/>
  <c r="V22" i="60" s="1"/>
  <c r="N22" i="60"/>
  <c r="Q22" i="60" s="1"/>
  <c r="J22" i="60"/>
  <c r="I22" i="60"/>
  <c r="H22" i="60"/>
  <c r="BQ21" i="60"/>
  <c r="BO21" i="60"/>
  <c r="BJ21" i="60"/>
  <c r="BE21" i="60"/>
  <c r="AZ21" i="60"/>
  <c r="AU21" i="60"/>
  <c r="AP21" i="60"/>
  <c r="AK21" i="60"/>
  <c r="AF21" i="60"/>
  <c r="AA21" i="60"/>
  <c r="V21" i="60"/>
  <c r="N21" i="60"/>
  <c r="Q21" i="60" s="1"/>
  <c r="J21" i="60"/>
  <c r="I21" i="60"/>
  <c r="H21" i="60"/>
  <c r="BQ20" i="60"/>
  <c r="BO20" i="60"/>
  <c r="BJ20" i="60"/>
  <c r="BE20" i="60"/>
  <c r="AZ20" i="60"/>
  <c r="AU20" i="60"/>
  <c r="AP20" i="60"/>
  <c r="AK20" i="60"/>
  <c r="AF20" i="60"/>
  <c r="AA20" i="60"/>
  <c r="V20" i="60"/>
  <c r="Q20" i="60"/>
  <c r="J20" i="60"/>
  <c r="I20" i="60"/>
  <c r="H20" i="60"/>
  <c r="BQ19" i="60"/>
  <c r="BO19" i="60"/>
  <c r="BJ19" i="60"/>
  <c r="BE19" i="60"/>
  <c r="AZ19" i="60"/>
  <c r="AU19" i="60"/>
  <c r="AP19" i="60"/>
  <c r="AK19" i="60"/>
  <c r="AF19" i="60"/>
  <c r="AA19" i="60"/>
  <c r="V19" i="60"/>
  <c r="Q19" i="60"/>
  <c r="J19" i="60"/>
  <c r="I19" i="60"/>
  <c r="H19" i="60"/>
  <c r="BQ18" i="60"/>
  <c r="BO18" i="60"/>
  <c r="BJ18" i="60"/>
  <c r="BE18" i="60"/>
  <c r="AZ18" i="60"/>
  <c r="AU18" i="60"/>
  <c r="AP18" i="60"/>
  <c r="AK18" i="60"/>
  <c r="AF18" i="60"/>
  <c r="AA18" i="60"/>
  <c r="V18" i="60"/>
  <c r="N18" i="60"/>
  <c r="J18" i="60"/>
  <c r="I18" i="60"/>
  <c r="H18" i="60"/>
  <c r="BQ17" i="60"/>
  <c r="BO17" i="60"/>
  <c r="BP17" i="60" s="1"/>
  <c r="BJ17" i="60"/>
  <c r="BE17" i="60"/>
  <c r="AZ17" i="60"/>
  <c r="AU17" i="60"/>
  <c r="AP17" i="60"/>
  <c r="AK17" i="60"/>
  <c r="AF17" i="60"/>
  <c r="AA17" i="60"/>
  <c r="V17" i="60"/>
  <c r="N17" i="60"/>
  <c r="H17" i="60"/>
  <c r="D17" i="60"/>
  <c r="J17" i="60" s="1"/>
  <c r="BQ16" i="60"/>
  <c r="BL16" i="60"/>
  <c r="BG16" i="60"/>
  <c r="BB16" i="60"/>
  <c r="AW16" i="60"/>
  <c r="AU16" i="60"/>
  <c r="AM16" i="60"/>
  <c r="AP16" i="60" s="1"/>
  <c r="AI16" i="60"/>
  <c r="AI29" i="60" s="1"/>
  <c r="AH16" i="60"/>
  <c r="AF16" i="60"/>
  <c r="AA16" i="60"/>
  <c r="S16" i="60"/>
  <c r="V16" i="60" s="1"/>
  <c r="N16" i="60"/>
  <c r="Q16" i="60" s="1"/>
  <c r="J16" i="60"/>
  <c r="I16" i="60"/>
  <c r="H16" i="60"/>
  <c r="BQ15" i="60"/>
  <c r="BO15" i="60"/>
  <c r="BP15" i="60" s="1"/>
  <c r="BJ15" i="60"/>
  <c r="BE15" i="60"/>
  <c r="AZ15" i="60"/>
  <c r="AU15" i="60"/>
  <c r="AP15" i="60"/>
  <c r="AK15" i="60"/>
  <c r="AF15" i="60"/>
  <c r="AA15" i="60"/>
  <c r="V15" i="60"/>
  <c r="N15" i="60"/>
  <c r="Q15" i="60" s="1"/>
  <c r="H15" i="60"/>
  <c r="D15" i="60"/>
  <c r="J15" i="60" s="1"/>
  <c r="AR29" i="60"/>
  <c r="AC29" i="60"/>
  <c r="BQ14" i="60"/>
  <c r="BO14" i="60"/>
  <c r="BP14" i="60" s="1"/>
  <c r="BJ14" i="60"/>
  <c r="BE14" i="60"/>
  <c r="AZ14" i="60"/>
  <c r="AU14" i="60"/>
  <c r="AP14" i="60"/>
  <c r="AK14" i="60"/>
  <c r="AF14" i="60"/>
  <c r="AA14" i="60"/>
  <c r="V14" i="60"/>
  <c r="N14" i="60"/>
  <c r="Q14" i="60" s="1"/>
  <c r="H14" i="60"/>
  <c r="D14" i="60"/>
  <c r="BQ13" i="60"/>
  <c r="BO13" i="60"/>
  <c r="BP13" i="60" s="1"/>
  <c r="BJ13" i="60"/>
  <c r="BE13" i="60"/>
  <c r="AZ13" i="60"/>
  <c r="AU13" i="60"/>
  <c r="AP13" i="60"/>
  <c r="AK13" i="60"/>
  <c r="AF13" i="60"/>
  <c r="AA13" i="60"/>
  <c r="V13" i="60"/>
  <c r="Q13" i="60"/>
  <c r="H13" i="60"/>
  <c r="D13" i="60"/>
  <c r="J13" i="60" s="1"/>
  <c r="AD29" i="60"/>
  <c r="BQ12" i="60"/>
  <c r="BO12" i="60"/>
  <c r="BP12" i="60" s="1"/>
  <c r="BJ12" i="60"/>
  <c r="BE12" i="60"/>
  <c r="AZ12" i="60"/>
  <c r="AU12" i="60"/>
  <c r="AP12" i="60"/>
  <c r="AK12" i="60"/>
  <c r="AF12" i="60"/>
  <c r="AA12" i="60"/>
  <c r="V12" i="60"/>
  <c r="Q12" i="60"/>
  <c r="J12" i="60"/>
  <c r="I12" i="60"/>
  <c r="H12" i="60"/>
  <c r="BQ11" i="60"/>
  <c r="BO11" i="60"/>
  <c r="BP11" i="60" s="1"/>
  <c r="BJ11" i="60"/>
  <c r="BE11" i="60"/>
  <c r="AZ11" i="60"/>
  <c r="AU11" i="60"/>
  <c r="AP11" i="60"/>
  <c r="AK11" i="60"/>
  <c r="AF11" i="60"/>
  <c r="AA11" i="60"/>
  <c r="V11" i="60"/>
  <c r="Q11" i="60"/>
  <c r="H11" i="60"/>
  <c r="D11" i="60"/>
  <c r="J11" i="60" s="1"/>
  <c r="BQ10" i="60"/>
  <c r="BO10" i="60"/>
  <c r="BP10" i="60" s="1"/>
  <c r="BJ10" i="60"/>
  <c r="BE10" i="60"/>
  <c r="AZ10" i="60"/>
  <c r="AU10" i="60"/>
  <c r="AP10" i="60"/>
  <c r="AK10" i="60"/>
  <c r="AF10" i="60"/>
  <c r="AA10" i="60"/>
  <c r="BQ9" i="60"/>
  <c r="BO9" i="60"/>
  <c r="BJ9" i="60"/>
  <c r="BE9" i="60"/>
  <c r="AZ9" i="60"/>
  <c r="AU9" i="60"/>
  <c r="AP9" i="60"/>
  <c r="AK9" i="60"/>
  <c r="AF9" i="60"/>
  <c r="AA9" i="60"/>
  <c r="V9" i="60"/>
  <c r="Q9" i="60"/>
  <c r="H9" i="60"/>
  <c r="D9" i="60"/>
  <c r="BQ8" i="60"/>
  <c r="BO8" i="60"/>
  <c r="BJ8" i="60"/>
  <c r="BE8" i="60"/>
  <c r="AZ8" i="60"/>
  <c r="AU8" i="60"/>
  <c r="AP8" i="60"/>
  <c r="AK8" i="60"/>
  <c r="AF8" i="60"/>
  <c r="X8" i="60"/>
  <c r="X29" i="60" s="1"/>
  <c r="X32" i="60" s="1"/>
  <c r="V8" i="60"/>
  <c r="Q8" i="60"/>
  <c r="J8" i="60"/>
  <c r="I8" i="60"/>
  <c r="H8" i="60"/>
  <c r="BQ7" i="60"/>
  <c r="BO7" i="60"/>
  <c r="BJ7" i="60"/>
  <c r="BE7" i="60"/>
  <c r="AZ7" i="60"/>
  <c r="AU7" i="60"/>
  <c r="AP7" i="60"/>
  <c r="AK7" i="60"/>
  <c r="AF7" i="60"/>
  <c r="AA7" i="60"/>
  <c r="V7" i="60"/>
  <c r="O7" i="60"/>
  <c r="BQ6" i="60"/>
  <c r="BO6" i="60"/>
  <c r="BP6" i="60" s="1"/>
  <c r="BJ6" i="60"/>
  <c r="BE6" i="60"/>
  <c r="AZ6" i="60"/>
  <c r="AU6" i="60"/>
  <c r="AP6" i="60"/>
  <c r="AK6" i="60"/>
  <c r="AF6" i="60"/>
  <c r="AA6" i="60"/>
  <c r="V6" i="60"/>
  <c r="N6" i="60"/>
  <c r="J6" i="60"/>
  <c r="I6" i="60"/>
  <c r="H6" i="60"/>
  <c r="BQ5" i="60"/>
  <c r="BO5" i="60"/>
  <c r="BP5" i="60" s="1"/>
  <c r="BJ5" i="60"/>
  <c r="BE5" i="60"/>
  <c r="AZ5" i="60"/>
  <c r="AU5" i="60"/>
  <c r="AP5" i="60"/>
  <c r="AK5" i="60"/>
  <c r="AF5" i="60"/>
  <c r="AA5" i="60"/>
  <c r="V5" i="60"/>
  <c r="N5" i="60"/>
  <c r="J5" i="60"/>
  <c r="I5" i="60"/>
  <c r="H5" i="60"/>
  <c r="U25" i="59"/>
  <c r="AQ6" i="60" l="1"/>
  <c r="O14" i="59" s="1"/>
  <c r="N14" i="59"/>
  <c r="AV8" i="60"/>
  <c r="Q16" i="59" s="1"/>
  <c r="P16" i="59"/>
  <c r="R9" i="60"/>
  <c r="E17" i="59" s="1"/>
  <c r="D17" i="59"/>
  <c r="BF9" i="60"/>
  <c r="U17" i="59" s="1"/>
  <c r="T17" i="59"/>
  <c r="AL11" i="60"/>
  <c r="M19" i="59" s="1"/>
  <c r="L19" i="59"/>
  <c r="W12" i="60"/>
  <c r="G20" i="59" s="1"/>
  <c r="F20" i="59"/>
  <c r="AV13" i="60"/>
  <c r="Q21" i="59" s="1"/>
  <c r="P21" i="59"/>
  <c r="R14" i="60"/>
  <c r="E22" i="59" s="1"/>
  <c r="D22" i="59"/>
  <c r="BF14" i="60"/>
  <c r="U22" i="59" s="1"/>
  <c r="T22" i="59"/>
  <c r="R15" i="60"/>
  <c r="E23" i="59" s="1"/>
  <c r="D23" i="59"/>
  <c r="BF15" i="60"/>
  <c r="U23" i="59" s="1"/>
  <c r="T23" i="59"/>
  <c r="AB17" i="60"/>
  <c r="I25" i="59" s="1"/>
  <c r="H25" i="59"/>
  <c r="AV17" i="60"/>
  <c r="Q25" i="59" s="1"/>
  <c r="P25" i="59"/>
  <c r="W5" i="60"/>
  <c r="G13" i="59" s="1"/>
  <c r="F13" i="59"/>
  <c r="BK5" i="60"/>
  <c r="Y13" i="59" s="1"/>
  <c r="X13" i="59"/>
  <c r="Z13" i="59" s="1"/>
  <c r="AB6" i="60"/>
  <c r="I14" i="59" s="1"/>
  <c r="H14" i="59"/>
  <c r="AV6" i="60"/>
  <c r="Q14" i="59" s="1"/>
  <c r="P14" i="59"/>
  <c r="AB7" i="60"/>
  <c r="I15" i="59" s="1"/>
  <c r="H15" i="59"/>
  <c r="AV7" i="60"/>
  <c r="Q15" i="59" s="1"/>
  <c r="P15" i="59"/>
  <c r="AG8" i="60"/>
  <c r="K16" i="59" s="1"/>
  <c r="J16" i="59"/>
  <c r="BA8" i="60"/>
  <c r="S16" i="59" s="1"/>
  <c r="R16" i="59"/>
  <c r="W9" i="60"/>
  <c r="G17" i="59" s="1"/>
  <c r="F17" i="59"/>
  <c r="BK9" i="60"/>
  <c r="Y17" i="59" s="1"/>
  <c r="AA17" i="59" s="1"/>
  <c r="X17" i="59"/>
  <c r="Z17" i="59" s="1"/>
  <c r="AG10" i="60"/>
  <c r="K18" i="59" s="1"/>
  <c r="J18" i="59"/>
  <c r="BA10" i="60"/>
  <c r="S18" i="59" s="1"/>
  <c r="R18" i="59"/>
  <c r="W11" i="60"/>
  <c r="G19" i="59" s="1"/>
  <c r="F19" i="59"/>
  <c r="BK11" i="60"/>
  <c r="Y19" i="59" s="1"/>
  <c r="AA19" i="59" s="1"/>
  <c r="X19" i="59"/>
  <c r="Z19" i="59" s="1"/>
  <c r="AB12" i="60"/>
  <c r="I20" i="59" s="1"/>
  <c r="H20" i="59"/>
  <c r="AG13" i="60"/>
  <c r="K21" i="59" s="1"/>
  <c r="J21" i="59"/>
  <c r="BA13" i="60"/>
  <c r="S21" i="59" s="1"/>
  <c r="R21" i="59"/>
  <c r="W14" i="60"/>
  <c r="G22" i="59" s="1"/>
  <c r="F22" i="59"/>
  <c r="AQ14" i="60"/>
  <c r="O22" i="59" s="1"/>
  <c r="N22" i="59"/>
  <c r="BK14" i="60"/>
  <c r="Y22" i="59" s="1"/>
  <c r="AA22" i="59" s="1"/>
  <c r="X22" i="59"/>
  <c r="Z22" i="59" s="1"/>
  <c r="W15" i="60"/>
  <c r="G23" i="59" s="1"/>
  <c r="F23" i="59"/>
  <c r="BK15" i="60"/>
  <c r="Y23" i="59" s="1"/>
  <c r="AA23" i="59" s="1"/>
  <c r="X23" i="59"/>
  <c r="Z23" i="59" s="1"/>
  <c r="AB16" i="60"/>
  <c r="I24" i="59" s="1"/>
  <c r="H24" i="59"/>
  <c r="AB5" i="60"/>
  <c r="I13" i="59" s="1"/>
  <c r="H13" i="59"/>
  <c r="AV5" i="60"/>
  <c r="Q13" i="59" s="1"/>
  <c r="P13" i="59"/>
  <c r="P26" i="59" s="1"/>
  <c r="AG6" i="60"/>
  <c r="K14" i="59" s="1"/>
  <c r="J14" i="59"/>
  <c r="BA6" i="60"/>
  <c r="S14" i="59" s="1"/>
  <c r="R14" i="59"/>
  <c r="AG7" i="60"/>
  <c r="K15" i="59" s="1"/>
  <c r="J15" i="59"/>
  <c r="BA7" i="60"/>
  <c r="S15" i="59" s="1"/>
  <c r="R15" i="59"/>
  <c r="R8" i="60"/>
  <c r="E16" i="59" s="1"/>
  <c r="D16" i="59"/>
  <c r="AL8" i="60"/>
  <c r="M16" i="59" s="1"/>
  <c r="L16" i="59"/>
  <c r="BF8" i="60"/>
  <c r="U16" i="59" s="1"/>
  <c r="T16" i="59"/>
  <c r="AB9" i="60"/>
  <c r="I17" i="59" s="1"/>
  <c r="H17" i="59"/>
  <c r="AV9" i="60"/>
  <c r="Q17" i="59" s="1"/>
  <c r="P17" i="59"/>
  <c r="BP9" i="60"/>
  <c r="E21" i="62" s="1"/>
  <c r="G21" i="62" s="1"/>
  <c r="D21" i="62"/>
  <c r="F21" i="62" s="1"/>
  <c r="AL10" i="60"/>
  <c r="M18" i="59" s="1"/>
  <c r="L18" i="59"/>
  <c r="BF10" i="60"/>
  <c r="U18" i="59" s="1"/>
  <c r="T18" i="59"/>
  <c r="AB11" i="60"/>
  <c r="I19" i="59" s="1"/>
  <c r="H19" i="59"/>
  <c r="AV11" i="60"/>
  <c r="Q19" i="59" s="1"/>
  <c r="P19" i="59"/>
  <c r="AG12" i="60"/>
  <c r="K20" i="59" s="1"/>
  <c r="J20" i="59"/>
  <c r="BA12" i="60"/>
  <c r="S20" i="59" s="1"/>
  <c r="R20" i="59"/>
  <c r="R13" i="60"/>
  <c r="E21" i="59" s="1"/>
  <c r="D21" i="59"/>
  <c r="AL13" i="60"/>
  <c r="M21" i="59" s="1"/>
  <c r="L21" i="59"/>
  <c r="BF13" i="60"/>
  <c r="U21" i="59" s="1"/>
  <c r="T21" i="59"/>
  <c r="AB14" i="60"/>
  <c r="I22" i="59" s="1"/>
  <c r="H22" i="59"/>
  <c r="AV14" i="60"/>
  <c r="Q22" i="59" s="1"/>
  <c r="P22" i="59"/>
  <c r="AB15" i="60"/>
  <c r="I23" i="59" s="1"/>
  <c r="H23" i="59"/>
  <c r="AV15" i="60"/>
  <c r="Q23" i="59" s="1"/>
  <c r="P23" i="59"/>
  <c r="AG16" i="60"/>
  <c r="K24" i="59" s="1"/>
  <c r="J24" i="59"/>
  <c r="AV16" i="60"/>
  <c r="Q24" i="59" s="1"/>
  <c r="P24" i="59"/>
  <c r="AL17" i="60"/>
  <c r="M25" i="59" s="1"/>
  <c r="L25" i="59"/>
  <c r="BF17" i="60"/>
  <c r="T25" i="59"/>
  <c r="AL5" i="60"/>
  <c r="M13" i="59" s="1"/>
  <c r="L13" i="59"/>
  <c r="L26" i="59" s="1"/>
  <c r="BF5" i="60"/>
  <c r="U13" i="59" s="1"/>
  <c r="T13" i="59"/>
  <c r="W6" i="60"/>
  <c r="G14" i="59" s="1"/>
  <c r="F14" i="59"/>
  <c r="BK6" i="60"/>
  <c r="Y14" i="59" s="1"/>
  <c r="AA14" i="59" s="1"/>
  <c r="X14" i="59"/>
  <c r="Z14" i="59" s="1"/>
  <c r="W7" i="60"/>
  <c r="G15" i="59" s="1"/>
  <c r="F15" i="59"/>
  <c r="AQ7" i="60"/>
  <c r="O15" i="59" s="1"/>
  <c r="N15" i="59"/>
  <c r="BK7" i="60"/>
  <c r="Y15" i="59" s="1"/>
  <c r="AA15" i="59" s="1"/>
  <c r="X15" i="59"/>
  <c r="Z15" i="59" s="1"/>
  <c r="Z26" i="59" s="1"/>
  <c r="BP8" i="60"/>
  <c r="E20" i="62" s="1"/>
  <c r="G20" i="62" s="1"/>
  <c r="H20" i="62" s="1"/>
  <c r="D20" i="62"/>
  <c r="F20" i="62" s="1"/>
  <c r="AL9" i="60"/>
  <c r="M17" i="59" s="1"/>
  <c r="L17" i="59"/>
  <c r="AB10" i="60"/>
  <c r="I18" i="59" s="1"/>
  <c r="H18" i="59"/>
  <c r="AV10" i="60"/>
  <c r="Q18" i="59" s="1"/>
  <c r="P18" i="59"/>
  <c r="R11" i="60"/>
  <c r="E19" i="59" s="1"/>
  <c r="D19" i="59"/>
  <c r="BF11" i="60"/>
  <c r="U19" i="59" s="1"/>
  <c r="T19" i="59"/>
  <c r="AQ12" i="60"/>
  <c r="O20" i="59" s="1"/>
  <c r="N20" i="59"/>
  <c r="BK12" i="60"/>
  <c r="Y20" i="59" s="1"/>
  <c r="AA20" i="59" s="1"/>
  <c r="X20" i="59"/>
  <c r="Z20" i="59" s="1"/>
  <c r="AB13" i="60"/>
  <c r="I21" i="59" s="1"/>
  <c r="H21" i="59"/>
  <c r="AL14" i="60"/>
  <c r="M22" i="59" s="1"/>
  <c r="L22" i="59"/>
  <c r="AL15" i="60"/>
  <c r="M23" i="59" s="1"/>
  <c r="L23" i="59"/>
  <c r="W16" i="60"/>
  <c r="G24" i="59" s="1"/>
  <c r="F24" i="59"/>
  <c r="AQ5" i="60"/>
  <c r="O13" i="59" s="1"/>
  <c r="N13" i="59"/>
  <c r="BP7" i="60"/>
  <c r="E19" i="62" s="1"/>
  <c r="D19" i="62"/>
  <c r="AQ9" i="60"/>
  <c r="O17" i="59" s="1"/>
  <c r="N17" i="59"/>
  <c r="AQ11" i="60"/>
  <c r="O19" i="59" s="1"/>
  <c r="N19" i="59"/>
  <c r="AV12" i="60"/>
  <c r="Q20" i="59" s="1"/>
  <c r="P20" i="59"/>
  <c r="AR32" i="60"/>
  <c r="AQ15" i="60"/>
  <c r="O23" i="59" s="1"/>
  <c r="N23" i="59"/>
  <c r="AQ16" i="60"/>
  <c r="O24" i="59" s="1"/>
  <c r="N24" i="59"/>
  <c r="AG17" i="60"/>
  <c r="K25" i="59" s="1"/>
  <c r="J25" i="59"/>
  <c r="BA17" i="60"/>
  <c r="S25" i="59" s="1"/>
  <c r="R25" i="59"/>
  <c r="Y32" i="60"/>
  <c r="AG5" i="60"/>
  <c r="K13" i="59" s="1"/>
  <c r="J13" i="59"/>
  <c r="BA5" i="60"/>
  <c r="S13" i="59" s="1"/>
  <c r="R13" i="59"/>
  <c r="AL6" i="60"/>
  <c r="M14" i="59" s="1"/>
  <c r="L14" i="59"/>
  <c r="BF6" i="60"/>
  <c r="U14" i="59" s="1"/>
  <c r="T14" i="59"/>
  <c r="T26" i="59" s="1"/>
  <c r="AL7" i="60"/>
  <c r="M15" i="59" s="1"/>
  <c r="L15" i="59"/>
  <c r="BF7" i="60"/>
  <c r="U15" i="59" s="1"/>
  <c r="T15" i="59"/>
  <c r="W8" i="60"/>
  <c r="G16" i="59" s="1"/>
  <c r="F16" i="59"/>
  <c r="AQ8" i="60"/>
  <c r="O16" i="59" s="1"/>
  <c r="N16" i="59"/>
  <c r="V16" i="59" s="1"/>
  <c r="BK8" i="60"/>
  <c r="Y16" i="59" s="1"/>
  <c r="AA16" i="59" s="1"/>
  <c r="X16" i="59"/>
  <c r="Z16" i="59" s="1"/>
  <c r="AG9" i="60"/>
  <c r="K17" i="59" s="1"/>
  <c r="J17" i="59"/>
  <c r="BA9" i="60"/>
  <c r="S17" i="59" s="1"/>
  <c r="R17" i="59"/>
  <c r="AQ10" i="60"/>
  <c r="O18" i="59" s="1"/>
  <c r="N18" i="59"/>
  <c r="V18" i="59" s="1"/>
  <c r="AB18" i="59" s="1"/>
  <c r="BK10" i="60"/>
  <c r="Y18" i="59" s="1"/>
  <c r="AA18" i="59" s="1"/>
  <c r="X18" i="59"/>
  <c r="Z18" i="59" s="1"/>
  <c r="AG11" i="60"/>
  <c r="K19" i="59" s="1"/>
  <c r="J19" i="59"/>
  <c r="BA11" i="60"/>
  <c r="S19" i="59" s="1"/>
  <c r="R19" i="59"/>
  <c r="R12" i="60"/>
  <c r="E20" i="59" s="1"/>
  <c r="D20" i="59"/>
  <c r="AL12" i="60"/>
  <c r="M20" i="59" s="1"/>
  <c r="L20" i="59"/>
  <c r="BF12" i="60"/>
  <c r="U20" i="59" s="1"/>
  <c r="T20" i="59"/>
  <c r="AD32" i="60"/>
  <c r="W13" i="60"/>
  <c r="G21" i="59" s="1"/>
  <c r="F21" i="59"/>
  <c r="AQ13" i="60"/>
  <c r="O21" i="59" s="1"/>
  <c r="N21" i="59"/>
  <c r="BK13" i="60"/>
  <c r="Y21" i="59" s="1"/>
  <c r="AA21" i="59" s="1"/>
  <c r="X21" i="59"/>
  <c r="Z21" i="59" s="1"/>
  <c r="AG14" i="60"/>
  <c r="K22" i="59" s="1"/>
  <c r="J22" i="59"/>
  <c r="BA14" i="60"/>
  <c r="S22" i="59" s="1"/>
  <c r="R22" i="59"/>
  <c r="AG15" i="60"/>
  <c r="K23" i="59" s="1"/>
  <c r="J23" i="59"/>
  <c r="BA15" i="60"/>
  <c r="S23" i="59" s="1"/>
  <c r="R23" i="59"/>
  <c r="R16" i="60"/>
  <c r="E24" i="59" s="1"/>
  <c r="D24" i="59"/>
  <c r="AH29" i="60"/>
  <c r="W17" i="60"/>
  <c r="G25" i="59" s="1"/>
  <c r="F25" i="59"/>
  <c r="AQ17" i="60"/>
  <c r="O25" i="59" s="1"/>
  <c r="N25" i="59"/>
  <c r="BK17" i="60"/>
  <c r="Y25" i="59" s="1"/>
  <c r="AA25" i="59" s="1"/>
  <c r="X25" i="59"/>
  <c r="Z25" i="59" s="1"/>
  <c r="AS32" i="60"/>
  <c r="BC32" i="60"/>
  <c r="BM32" i="60"/>
  <c r="R26" i="59"/>
  <c r="AB16" i="59"/>
  <c r="N29" i="60"/>
  <c r="N32" i="60" s="1"/>
  <c r="K8" i="60"/>
  <c r="AC31" i="60"/>
  <c r="AC32" i="60" s="1"/>
  <c r="AM31" i="60"/>
  <c r="AH31" i="60"/>
  <c r="AH32" i="60" s="1"/>
  <c r="O29" i="60"/>
  <c r="O32" i="60" s="1"/>
  <c r="D29" i="60"/>
  <c r="D32" i="60" s="1"/>
  <c r="S29" i="60"/>
  <c r="S32" i="60" s="1"/>
  <c r="AI32" i="60"/>
  <c r="K18" i="60"/>
  <c r="K20" i="60"/>
  <c r="K22" i="60"/>
  <c r="K23" i="60"/>
  <c r="K25" i="60"/>
  <c r="K28" i="60"/>
  <c r="J9" i="60"/>
  <c r="H29" i="60"/>
  <c r="BQ29" i="60"/>
  <c r="K6" i="60"/>
  <c r="K12" i="60"/>
  <c r="K16" i="60"/>
  <c r="K19" i="60"/>
  <c r="K21" i="60"/>
  <c r="AF22" i="60"/>
  <c r="Q23" i="60"/>
  <c r="K24" i="60"/>
  <c r="K26" i="60"/>
  <c r="K5" i="60"/>
  <c r="Q6" i="60"/>
  <c r="Q7" i="60"/>
  <c r="AA8" i="60"/>
  <c r="H16" i="59" s="1"/>
  <c r="Q5" i="60"/>
  <c r="I9" i="60"/>
  <c r="K9" i="60" s="1"/>
  <c r="I11" i="60"/>
  <c r="K11" i="60" s="1"/>
  <c r="I13" i="60"/>
  <c r="K13" i="60" s="1"/>
  <c r="J14" i="60"/>
  <c r="I15" i="60"/>
  <c r="K15" i="60" s="1"/>
  <c r="I14" i="60"/>
  <c r="AZ16" i="60"/>
  <c r="R24" i="59" s="1"/>
  <c r="BE16" i="60"/>
  <c r="T24" i="59" s="1"/>
  <c r="BJ16" i="60"/>
  <c r="X24" i="59" s="1"/>
  <c r="Z24" i="59" s="1"/>
  <c r="BO16" i="60"/>
  <c r="Q17" i="60"/>
  <c r="Q18" i="60"/>
  <c r="AK22" i="60"/>
  <c r="AP22" i="60"/>
  <c r="AU22" i="60"/>
  <c r="Q25" i="60"/>
  <c r="Q26" i="60"/>
  <c r="AM29" i="60"/>
  <c r="AM32" i="60" s="1"/>
  <c r="AW29" i="60"/>
  <c r="AW32" i="60" s="1"/>
  <c r="BB29" i="60"/>
  <c r="BB32" i="60" s="1"/>
  <c r="BG29" i="60"/>
  <c r="BG32" i="60" s="1"/>
  <c r="BL29" i="60"/>
  <c r="BL32" i="60" s="1"/>
  <c r="AK16" i="60"/>
  <c r="L24" i="59" s="1"/>
  <c r="I17" i="60"/>
  <c r="K17" i="60" s="1"/>
  <c r="V19" i="59" l="1"/>
  <c r="AB19" i="59" s="1"/>
  <c r="V22" i="59"/>
  <c r="AB22" i="59" s="1"/>
  <c r="W13" i="59"/>
  <c r="AC13" i="59" s="1"/>
  <c r="V24" i="59"/>
  <c r="AB24" i="59" s="1"/>
  <c r="W20" i="59"/>
  <c r="AC20" i="59" s="1"/>
  <c r="W15" i="59"/>
  <c r="AC15" i="59" s="1"/>
  <c r="W14" i="59"/>
  <c r="AC14" i="59" s="1"/>
  <c r="Q26" i="59"/>
  <c r="W21" i="59"/>
  <c r="AC21" i="59" s="1"/>
  <c r="G26" i="59"/>
  <c r="R17" i="60"/>
  <c r="E25" i="59" s="1"/>
  <c r="W25" i="59" s="1"/>
  <c r="AC25" i="59" s="1"/>
  <c r="AD25" i="59" s="1"/>
  <c r="D25" i="59"/>
  <c r="R5" i="60"/>
  <c r="E13" i="59" s="1"/>
  <c r="D13" i="59"/>
  <c r="X26" i="59"/>
  <c r="V25" i="59"/>
  <c r="AB25" i="59" s="1"/>
  <c r="W23" i="59"/>
  <c r="AC23" i="59" s="1"/>
  <c r="AD23" i="59" s="1"/>
  <c r="W22" i="59"/>
  <c r="AC22" i="59" s="1"/>
  <c r="AD22" i="59" s="1"/>
  <c r="J26" i="59"/>
  <c r="V17" i="59"/>
  <c r="AB17" i="59" s="1"/>
  <c r="V13" i="59"/>
  <c r="V20" i="59"/>
  <c r="AB20" i="59" s="1"/>
  <c r="H26" i="59"/>
  <c r="R7" i="60"/>
  <c r="E15" i="59" s="1"/>
  <c r="D15" i="59"/>
  <c r="V15" i="59" s="1"/>
  <c r="AB15" i="59" s="1"/>
  <c r="F19" i="62"/>
  <c r="F22" i="62" s="1"/>
  <c r="D22" i="62"/>
  <c r="F26" i="59"/>
  <c r="N26" i="59"/>
  <c r="R6" i="60"/>
  <c r="E14" i="59" s="1"/>
  <c r="D14" i="59"/>
  <c r="V14" i="59" s="1"/>
  <c r="AB14" i="59" s="1"/>
  <c r="G19" i="62"/>
  <c r="E22" i="62"/>
  <c r="H21" i="62"/>
  <c r="AV29" i="60"/>
  <c r="F22" i="42" s="1"/>
  <c r="F22" i="55" s="1"/>
  <c r="AQ29" i="60"/>
  <c r="F21" i="42" s="1"/>
  <c r="F21" i="55" s="1"/>
  <c r="V21" i="59"/>
  <c r="AB21" i="59" s="1"/>
  <c r="W19" i="59"/>
  <c r="AC19" i="59" s="1"/>
  <c r="AD19" i="59" s="1"/>
  <c r="W17" i="59"/>
  <c r="AC17" i="59" s="1"/>
  <c r="AD17" i="59" s="1"/>
  <c r="K26" i="59"/>
  <c r="V23" i="59"/>
  <c r="AB23" i="59" s="1"/>
  <c r="O26" i="59"/>
  <c r="W18" i="59"/>
  <c r="AC18" i="59" s="1"/>
  <c r="AD18" i="59" s="1"/>
  <c r="AA13" i="59"/>
  <c r="Y26" i="59"/>
  <c r="AG18" i="60"/>
  <c r="AK29" i="60"/>
  <c r="AK34" i="60" s="1"/>
  <c r="AL16" i="60"/>
  <c r="BJ29" i="60"/>
  <c r="BK16" i="60"/>
  <c r="Y24" i="59" s="1"/>
  <c r="AA24" i="59" s="1"/>
  <c r="AZ29" i="60"/>
  <c r="AZ34" i="60" s="1"/>
  <c r="BA16" i="60"/>
  <c r="V29" i="60"/>
  <c r="AA29" i="60"/>
  <c r="AA34" i="60" s="1"/>
  <c r="AB8" i="60"/>
  <c r="AG29" i="60"/>
  <c r="F19" i="42" s="1"/>
  <c r="F19" i="55" s="1"/>
  <c r="BO29" i="60"/>
  <c r="BP16" i="60"/>
  <c r="BP29" i="60" s="1"/>
  <c r="F28" i="42" s="1"/>
  <c r="F28" i="55" s="1"/>
  <c r="BE29" i="60"/>
  <c r="BE34" i="60" s="1"/>
  <c r="BF16" i="60"/>
  <c r="AP29" i="60"/>
  <c r="AP34" i="60" s="1"/>
  <c r="K14" i="60"/>
  <c r="AF29" i="60"/>
  <c r="AF32" i="60" s="1"/>
  <c r="AU29" i="60"/>
  <c r="AU34" i="60" s="1"/>
  <c r="J29" i="60"/>
  <c r="J32" i="60" s="1"/>
  <c r="BJ34" i="60"/>
  <c r="BJ32" i="60"/>
  <c r="AZ32" i="60"/>
  <c r="BO34" i="60"/>
  <c r="BO32" i="60"/>
  <c r="V34" i="60"/>
  <c r="V32" i="60"/>
  <c r="Q29" i="60"/>
  <c r="I29" i="60"/>
  <c r="I32" i="60" s="1"/>
  <c r="AD14" i="59" l="1"/>
  <c r="R18" i="60"/>
  <c r="AA26" i="59"/>
  <c r="D26" i="59"/>
  <c r="AD15" i="59"/>
  <c r="AA32" i="60"/>
  <c r="AK32" i="60"/>
  <c r="R29" i="60"/>
  <c r="F16" i="42" s="1"/>
  <c r="F16" i="55" s="1"/>
  <c r="E26" i="59"/>
  <c r="AD21" i="59"/>
  <c r="AD20" i="59"/>
  <c r="AB29" i="60"/>
  <c r="F18" i="42" s="1"/>
  <c r="F18" i="55" s="1"/>
  <c r="I16" i="59"/>
  <c r="V26" i="59"/>
  <c r="BE32" i="60"/>
  <c r="AB13" i="59"/>
  <c r="AB26" i="59" s="1"/>
  <c r="BF29" i="60"/>
  <c r="F24" i="42" s="1"/>
  <c r="F24" i="55" s="1"/>
  <c r="U24" i="59"/>
  <c r="U26" i="59" s="1"/>
  <c r="BA29" i="60"/>
  <c r="F23" i="42" s="1"/>
  <c r="F23" i="55" s="1"/>
  <c r="S24" i="59"/>
  <c r="AL29" i="60"/>
  <c r="F20" i="42" s="1"/>
  <c r="F20" i="55" s="1"/>
  <c r="M24" i="59"/>
  <c r="M26" i="59" s="1"/>
  <c r="G22" i="62"/>
  <c r="H22" i="62" s="1"/>
  <c r="H19" i="62"/>
  <c r="K29" i="60"/>
  <c r="W29" i="60"/>
  <c r="F17" i="42" s="1"/>
  <c r="F17" i="55" s="1"/>
  <c r="W18" i="60"/>
  <c r="BK18" i="60"/>
  <c r="BK29" i="60"/>
  <c r="AP32" i="60"/>
  <c r="AU32" i="60"/>
  <c r="AF34" i="60"/>
  <c r="Q34" i="60"/>
  <c r="Q32" i="60"/>
  <c r="AD13" i="59"/>
  <c r="W24" i="59" l="1"/>
  <c r="AC24" i="59" s="1"/>
  <c r="AD24" i="59" s="1"/>
  <c r="S26" i="59"/>
  <c r="I26" i="59"/>
  <c r="W16" i="59"/>
  <c r="F25" i="42"/>
  <c r="F25" i="55" s="1"/>
  <c r="F26" i="55" s="1"/>
  <c r="F29" i="55" s="1"/>
  <c r="BR29" i="60"/>
  <c r="C19" i="57"/>
  <c r="K26" i="55"/>
  <c r="K29" i="55" s="1"/>
  <c r="H26" i="55"/>
  <c r="H29" i="55" s="1"/>
  <c r="G26" i="55"/>
  <c r="G29" i="55" s="1"/>
  <c r="E26" i="55"/>
  <c r="E29" i="55" s="1"/>
  <c r="C26" i="55"/>
  <c r="C29" i="55" s="1"/>
  <c r="B26" i="55"/>
  <c r="B29" i="55" s="1"/>
  <c r="AC16" i="59" l="1"/>
  <c r="W26" i="59"/>
  <c r="AD16" i="59" l="1"/>
  <c r="AC26" i="59"/>
  <c r="AD26" i="59" s="1"/>
  <c r="PB12" i="30" l="1"/>
  <c r="PS6" i="30"/>
  <c r="PS7" i="30"/>
  <c r="PS8" i="30"/>
  <c r="PS9" i="30"/>
  <c r="PS10" i="30"/>
  <c r="PS11" i="30"/>
  <c r="PS12" i="30"/>
  <c r="PS13" i="30"/>
  <c r="PS14" i="30"/>
  <c r="PS15" i="30"/>
  <c r="PS16" i="30"/>
  <c r="PS17" i="30"/>
  <c r="PS18" i="30"/>
  <c r="PS19" i="30"/>
  <c r="PS20" i="30"/>
  <c r="PS21" i="30"/>
  <c r="PS22" i="30"/>
  <c r="PS23" i="30"/>
  <c r="PS24" i="30"/>
  <c r="PS25" i="30"/>
  <c r="PS26" i="30"/>
  <c r="PS27" i="30"/>
  <c r="PS28" i="30"/>
  <c r="PS29" i="30"/>
  <c r="PS30" i="30"/>
  <c r="PS31" i="30"/>
  <c r="PS32" i="30"/>
  <c r="PS33" i="30"/>
  <c r="PS34" i="30"/>
  <c r="PS35" i="30"/>
  <c r="PS36" i="30"/>
  <c r="PS37" i="30"/>
  <c r="PS38" i="30"/>
  <c r="PS39" i="30"/>
  <c r="PS40" i="30"/>
  <c r="PS41" i="30"/>
  <c r="PS42" i="30"/>
  <c r="PS43" i="30"/>
  <c r="PS44" i="30"/>
  <c r="PS45" i="30"/>
  <c r="PS46" i="30"/>
  <c r="PS47" i="30"/>
  <c r="PS48" i="30"/>
  <c r="PS49" i="30"/>
  <c r="PS50" i="30"/>
  <c r="PS51" i="30"/>
  <c r="PS52" i="30"/>
  <c r="PS53" i="30"/>
  <c r="PS54" i="30"/>
  <c r="PS55" i="30"/>
  <c r="PS56" i="30"/>
  <c r="PS57" i="30"/>
  <c r="PS58" i="30"/>
  <c r="PS59" i="30"/>
  <c r="PS60" i="30"/>
  <c r="PS61" i="30"/>
  <c r="PS62" i="30"/>
  <c r="PS63" i="30"/>
  <c r="PS64" i="30"/>
  <c r="PS65" i="30"/>
  <c r="PS66" i="30"/>
  <c r="PS67" i="30"/>
  <c r="PS5" i="30"/>
  <c r="D28" i="42"/>
  <c r="PP12" i="30"/>
  <c r="MM6" i="30"/>
  <c r="MM7" i="30"/>
  <c r="MM8" i="30"/>
  <c r="MM9" i="30"/>
  <c r="MM10" i="30"/>
  <c r="MM11" i="30"/>
  <c r="MM12" i="30"/>
  <c r="MM13" i="30"/>
  <c r="MM14" i="30"/>
  <c r="MM15" i="30"/>
  <c r="MM16" i="30"/>
  <c r="MM17" i="30"/>
  <c r="MM18" i="30"/>
  <c r="MM19" i="30"/>
  <c r="MM20" i="30"/>
  <c r="MM21" i="30"/>
  <c r="MM22" i="30"/>
  <c r="MM23" i="30"/>
  <c r="MM24" i="30"/>
  <c r="MM25" i="30"/>
  <c r="MM26" i="30"/>
  <c r="MM27" i="30"/>
  <c r="MM28" i="30"/>
  <c r="MM29" i="30"/>
  <c r="MM30" i="30"/>
  <c r="MM31" i="30"/>
  <c r="MM32" i="30"/>
  <c r="MM33" i="30"/>
  <c r="MM34" i="30"/>
  <c r="MM35" i="30"/>
  <c r="MM36" i="30"/>
  <c r="MM37" i="30"/>
  <c r="MM38" i="30"/>
  <c r="MM39" i="30"/>
  <c r="MM40" i="30"/>
  <c r="MM41" i="30"/>
  <c r="MM42" i="30"/>
  <c r="MM43" i="30"/>
  <c r="MM44" i="30"/>
  <c r="MM45" i="30"/>
  <c r="MM46" i="30"/>
  <c r="MM47" i="30"/>
  <c r="MM48" i="30"/>
  <c r="MM49" i="30"/>
  <c r="MM50" i="30"/>
  <c r="MM51" i="30"/>
  <c r="MM52" i="30"/>
  <c r="MM53" i="30"/>
  <c r="MM54" i="30"/>
  <c r="MM55" i="30"/>
  <c r="MM56" i="30"/>
  <c r="MM57" i="30"/>
  <c r="MM58" i="30"/>
  <c r="MM59" i="30"/>
  <c r="MM60" i="30"/>
  <c r="MM61" i="30"/>
  <c r="MM62" i="30"/>
  <c r="MM63" i="30"/>
  <c r="MM64" i="30"/>
  <c r="MM65" i="30"/>
  <c r="MM66" i="30"/>
  <c r="MM67" i="30"/>
  <c r="MM5" i="30"/>
  <c r="PL7" i="30"/>
  <c r="PM7" i="30"/>
  <c r="PN7" i="30"/>
  <c r="PO7" i="30"/>
  <c r="PP7" i="30"/>
  <c r="PL8" i="30"/>
  <c r="PM8" i="30"/>
  <c r="PN8" i="30"/>
  <c r="PO8" i="30"/>
  <c r="PP8" i="30"/>
  <c r="PL9" i="30"/>
  <c r="PM9" i="30"/>
  <c r="PN9" i="30"/>
  <c r="PO9" i="30"/>
  <c r="PP9" i="30"/>
  <c r="PL10" i="30"/>
  <c r="PM10" i="30"/>
  <c r="PN10" i="30"/>
  <c r="PO10" i="30"/>
  <c r="PP10" i="30"/>
  <c r="PL11" i="30"/>
  <c r="PM11" i="30"/>
  <c r="PN11" i="30"/>
  <c r="PO11" i="30"/>
  <c r="PP11" i="30"/>
  <c r="PL12" i="30"/>
  <c r="PM12" i="30"/>
  <c r="PN12" i="30"/>
  <c r="PO12" i="30"/>
  <c r="PL13" i="30"/>
  <c r="PM13" i="30"/>
  <c r="PN13" i="30"/>
  <c r="PO13" i="30"/>
  <c r="PP13" i="30"/>
  <c r="PL14" i="30"/>
  <c r="PM14" i="30"/>
  <c r="PN14" i="30"/>
  <c r="PO14" i="30"/>
  <c r="PP14" i="30"/>
  <c r="PL15" i="30"/>
  <c r="PM15" i="30"/>
  <c r="PN15" i="30"/>
  <c r="PO15" i="30"/>
  <c r="PP15" i="30"/>
  <c r="PL16" i="30"/>
  <c r="PM16" i="30"/>
  <c r="PN16" i="30"/>
  <c r="PO16" i="30"/>
  <c r="PP16" i="30"/>
  <c r="PL17" i="30"/>
  <c r="PM17" i="30"/>
  <c r="PN17" i="30"/>
  <c r="PO17" i="30"/>
  <c r="PP17" i="30"/>
  <c r="PL18" i="30"/>
  <c r="PM18" i="30"/>
  <c r="PN18" i="30"/>
  <c r="PO18" i="30"/>
  <c r="PP18" i="30"/>
  <c r="PL19" i="30"/>
  <c r="PM19" i="30"/>
  <c r="PN19" i="30"/>
  <c r="PO19" i="30"/>
  <c r="PP19" i="30"/>
  <c r="PL20" i="30"/>
  <c r="PM20" i="30"/>
  <c r="PN20" i="30"/>
  <c r="PO20" i="30"/>
  <c r="PP20" i="30"/>
  <c r="PL21" i="30"/>
  <c r="PM21" i="30"/>
  <c r="PN21" i="30"/>
  <c r="PO21" i="30"/>
  <c r="PP21" i="30"/>
  <c r="PL22" i="30"/>
  <c r="PM22" i="30"/>
  <c r="PN22" i="30"/>
  <c r="PO22" i="30"/>
  <c r="PP22" i="30"/>
  <c r="PL23" i="30"/>
  <c r="PM23" i="30"/>
  <c r="PN23" i="30"/>
  <c r="PO23" i="30"/>
  <c r="PP23" i="30"/>
  <c r="PL24" i="30"/>
  <c r="PM24" i="30"/>
  <c r="PN24" i="30"/>
  <c r="PO24" i="30"/>
  <c r="PP24" i="30"/>
  <c r="PL25" i="30"/>
  <c r="PM25" i="30"/>
  <c r="PN25" i="30"/>
  <c r="PO25" i="30"/>
  <c r="PP25" i="30"/>
  <c r="PL26" i="30"/>
  <c r="PM26" i="30"/>
  <c r="PN26" i="30"/>
  <c r="PO26" i="30"/>
  <c r="PP26" i="30"/>
  <c r="PL27" i="30"/>
  <c r="PM27" i="30"/>
  <c r="PN27" i="30"/>
  <c r="PO27" i="30"/>
  <c r="PP27" i="30"/>
  <c r="PL28" i="30"/>
  <c r="PM28" i="30"/>
  <c r="PN28" i="30"/>
  <c r="PO28" i="30"/>
  <c r="PP28" i="30"/>
  <c r="PL29" i="30"/>
  <c r="PM29" i="30"/>
  <c r="PN29" i="30"/>
  <c r="PO29" i="30"/>
  <c r="PP29" i="30"/>
  <c r="PL30" i="30"/>
  <c r="PM30" i="30"/>
  <c r="PN30" i="30"/>
  <c r="PO30" i="30"/>
  <c r="PP30" i="30"/>
  <c r="PL31" i="30"/>
  <c r="PM31" i="30"/>
  <c r="PN31" i="30"/>
  <c r="PO31" i="30"/>
  <c r="PP31" i="30"/>
  <c r="PL32" i="30"/>
  <c r="PM32" i="30"/>
  <c r="PN32" i="30"/>
  <c r="PO32" i="30"/>
  <c r="PP32" i="30"/>
  <c r="PL33" i="30"/>
  <c r="PM33" i="30"/>
  <c r="PN33" i="30"/>
  <c r="PO33" i="30"/>
  <c r="PP33" i="30"/>
  <c r="PL34" i="30"/>
  <c r="PM34" i="30"/>
  <c r="PN34" i="30"/>
  <c r="PO34" i="30"/>
  <c r="PP34" i="30"/>
  <c r="PL35" i="30"/>
  <c r="PM35" i="30"/>
  <c r="PN35" i="30"/>
  <c r="PO35" i="30"/>
  <c r="PP35" i="30"/>
  <c r="PL36" i="30"/>
  <c r="PM36" i="30"/>
  <c r="PN36" i="30"/>
  <c r="PO36" i="30"/>
  <c r="PP36" i="30"/>
  <c r="PL37" i="30"/>
  <c r="PM37" i="30"/>
  <c r="PN37" i="30"/>
  <c r="PO37" i="30"/>
  <c r="PP37" i="30"/>
  <c r="PL38" i="30"/>
  <c r="PM38" i="30"/>
  <c r="PN38" i="30"/>
  <c r="PO38" i="30"/>
  <c r="PP38" i="30"/>
  <c r="PL39" i="30"/>
  <c r="PM39" i="30"/>
  <c r="PN39" i="30"/>
  <c r="PO39" i="30"/>
  <c r="PP39" i="30"/>
  <c r="PL40" i="30"/>
  <c r="PM40" i="30"/>
  <c r="PN40" i="30"/>
  <c r="PO40" i="30"/>
  <c r="PP40" i="30"/>
  <c r="PL41" i="30"/>
  <c r="PM41" i="30"/>
  <c r="PN41" i="30"/>
  <c r="PO41" i="30"/>
  <c r="PP41" i="30"/>
  <c r="PL42" i="30"/>
  <c r="PM42" i="30"/>
  <c r="PN42" i="30"/>
  <c r="PO42" i="30"/>
  <c r="PP42" i="30"/>
  <c r="PL43" i="30"/>
  <c r="PM43" i="30"/>
  <c r="PN43" i="30"/>
  <c r="PO43" i="30"/>
  <c r="PP43" i="30"/>
  <c r="PL44" i="30"/>
  <c r="PM44" i="30"/>
  <c r="PN44" i="30"/>
  <c r="PO44" i="30"/>
  <c r="PP44" i="30"/>
  <c r="PL45" i="30"/>
  <c r="PM45" i="30"/>
  <c r="PN45" i="30"/>
  <c r="PO45" i="30"/>
  <c r="PP45" i="30"/>
  <c r="PL46" i="30"/>
  <c r="PM46" i="30"/>
  <c r="PN46" i="30"/>
  <c r="PO46" i="30"/>
  <c r="PP46" i="30"/>
  <c r="PL47" i="30"/>
  <c r="PM47" i="30"/>
  <c r="PN47" i="30"/>
  <c r="PO47" i="30"/>
  <c r="PP47" i="30"/>
  <c r="PL48" i="30"/>
  <c r="PM48" i="30"/>
  <c r="PN48" i="30"/>
  <c r="PO48" i="30"/>
  <c r="PP48" i="30"/>
  <c r="PL49" i="30"/>
  <c r="PM49" i="30"/>
  <c r="PN49" i="30"/>
  <c r="PO49" i="30"/>
  <c r="PP49" i="30"/>
  <c r="PL50" i="30"/>
  <c r="PM50" i="30"/>
  <c r="PN50" i="30"/>
  <c r="PO50" i="30"/>
  <c r="PP50" i="30"/>
  <c r="PL51" i="30"/>
  <c r="PM51" i="30"/>
  <c r="PN51" i="30"/>
  <c r="PO51" i="30"/>
  <c r="PP51" i="30"/>
  <c r="PL52" i="30"/>
  <c r="PM52" i="30"/>
  <c r="PN52" i="30"/>
  <c r="PO52" i="30"/>
  <c r="PP52" i="30"/>
  <c r="PL53" i="30"/>
  <c r="PM53" i="30"/>
  <c r="PN53" i="30"/>
  <c r="PO53" i="30"/>
  <c r="PP53" i="30"/>
  <c r="PL55" i="30"/>
  <c r="PM55" i="30"/>
  <c r="PN55" i="30"/>
  <c r="PO55" i="30"/>
  <c r="PP55" i="30"/>
  <c r="PL56" i="30"/>
  <c r="PM56" i="30"/>
  <c r="PN56" i="30"/>
  <c r="PO56" i="30"/>
  <c r="PP56" i="30"/>
  <c r="PL57" i="30"/>
  <c r="PM57" i="30"/>
  <c r="PN57" i="30"/>
  <c r="PO57" i="30"/>
  <c r="PP57" i="30"/>
  <c r="PL58" i="30"/>
  <c r="PM58" i="30"/>
  <c r="PN58" i="30"/>
  <c r="PO58" i="30"/>
  <c r="PP58" i="30"/>
  <c r="PL59" i="30"/>
  <c r="PM59" i="30"/>
  <c r="PN59" i="30"/>
  <c r="PO59" i="30"/>
  <c r="PP59" i="30"/>
  <c r="PL60" i="30"/>
  <c r="PM60" i="30"/>
  <c r="PN60" i="30"/>
  <c r="PO60" i="30"/>
  <c r="PP60" i="30"/>
  <c r="PL62" i="30"/>
  <c r="PM62" i="30"/>
  <c r="PN62" i="30"/>
  <c r="PO62" i="30"/>
  <c r="PP62" i="30"/>
  <c r="PL63" i="30"/>
  <c r="PM63" i="30"/>
  <c r="PN63" i="30"/>
  <c r="PO63" i="30"/>
  <c r="PP63" i="30"/>
  <c r="PL64" i="30"/>
  <c r="PM64" i="30"/>
  <c r="PN64" i="30"/>
  <c r="PO64" i="30"/>
  <c r="PP64" i="30"/>
  <c r="PL65" i="30"/>
  <c r="PM65" i="30"/>
  <c r="PN65" i="30"/>
  <c r="PO65" i="30"/>
  <c r="PP65" i="30"/>
  <c r="PL66" i="30"/>
  <c r="PM66" i="30"/>
  <c r="PN66" i="30"/>
  <c r="PO66" i="30"/>
  <c r="PP66" i="30"/>
  <c r="PL67" i="30"/>
  <c r="PM67" i="30"/>
  <c r="PN67" i="30"/>
  <c r="PO67" i="30"/>
  <c r="PP67" i="30"/>
  <c r="PL6" i="30"/>
  <c r="PM6" i="30"/>
  <c r="PN6" i="30"/>
  <c r="PO6" i="30"/>
  <c r="PP6" i="30"/>
  <c r="PM5" i="30"/>
  <c r="PN5" i="30"/>
  <c r="PO5" i="30"/>
  <c r="PP5" i="30"/>
  <c r="PL5" i="30"/>
  <c r="NV25" i="30"/>
  <c r="NW25" i="30"/>
  <c r="NX25" i="30"/>
  <c r="NY25" i="30"/>
  <c r="NZ25" i="30"/>
  <c r="NV26" i="30"/>
  <c r="NW26" i="30"/>
  <c r="NX26" i="30"/>
  <c r="NY26" i="30"/>
  <c r="NZ26" i="30"/>
  <c r="NV7" i="30"/>
  <c r="NW7" i="30"/>
  <c r="NX7" i="30"/>
  <c r="NY7" i="30"/>
  <c r="NZ7" i="30"/>
  <c r="OJ7" i="30"/>
  <c r="OK7" i="30"/>
  <c r="OL7" i="30"/>
  <c r="OM7" i="30"/>
  <c r="ON7" i="30"/>
  <c r="OJ25" i="30"/>
  <c r="OK25" i="30"/>
  <c r="OL25" i="30"/>
  <c r="OM25" i="30"/>
  <c r="ON25" i="30"/>
  <c r="OJ26" i="30"/>
  <c r="OK26" i="30"/>
  <c r="OL26" i="30"/>
  <c r="OM26" i="30"/>
  <c r="ON26" i="30"/>
  <c r="OX25" i="30"/>
  <c r="OY25" i="30"/>
  <c r="OZ25" i="30"/>
  <c r="PA25" i="30"/>
  <c r="PB25" i="30"/>
  <c r="OX26" i="30"/>
  <c r="OY26" i="30"/>
  <c r="OZ26" i="30"/>
  <c r="PA26" i="30"/>
  <c r="PB26" i="30"/>
  <c r="OX7" i="30"/>
  <c r="OY7" i="30"/>
  <c r="OZ7" i="30"/>
  <c r="PA7" i="30"/>
  <c r="PB7" i="30"/>
  <c r="NF25" i="30"/>
  <c r="NG25" i="30"/>
  <c r="NH25" i="30"/>
  <c r="NI25" i="30"/>
  <c r="NJ25" i="30"/>
  <c r="NK25" i="30"/>
  <c r="NL25" i="30"/>
  <c r="NF26" i="30"/>
  <c r="NG26" i="30"/>
  <c r="NH26" i="30"/>
  <c r="NI26" i="30"/>
  <c r="NJ26" i="30"/>
  <c r="NK26" i="30"/>
  <c r="NL26" i="30"/>
  <c r="NF7" i="30"/>
  <c r="NG7" i="30"/>
  <c r="NH7" i="30"/>
  <c r="NI7" i="30"/>
  <c r="NJ7" i="30"/>
  <c r="NK7" i="30"/>
  <c r="NL7" i="30"/>
  <c r="I53" i="21"/>
  <c r="I57" i="21"/>
  <c r="D28" i="55" l="1"/>
  <c r="L28" i="55" s="1"/>
  <c r="D50" i="50"/>
  <c r="F50" i="50" s="1"/>
  <c r="PS68" i="30"/>
  <c r="O50" i="50" l="1"/>
  <c r="K50" i="50"/>
  <c r="I50" i="50"/>
  <c r="L50" i="50"/>
  <c r="H50" i="50"/>
  <c r="N50" i="50"/>
  <c r="J50" i="50"/>
  <c r="M50" i="50"/>
  <c r="B57" i="21"/>
  <c r="D53" i="21"/>
  <c r="D57" i="21" s="1"/>
  <c r="C53" i="21"/>
  <c r="C57" i="21" s="1"/>
  <c r="B53" i="21"/>
  <c r="M53" i="21"/>
  <c r="M57" i="21"/>
  <c r="F53" i="21"/>
  <c r="F57" i="21" s="1"/>
  <c r="P53" i="21"/>
  <c r="N53" i="21"/>
  <c r="N57" i="21" s="1"/>
  <c r="L53" i="21"/>
  <c r="L57" i="21" s="1"/>
  <c r="J53" i="21"/>
  <c r="J57" i="21" s="1"/>
  <c r="H53" i="21"/>
  <c r="H57" i="21" s="1"/>
  <c r="E53" i="21"/>
  <c r="E57" i="21" s="1"/>
  <c r="O52" i="21"/>
  <c r="Q52" i="21" s="1"/>
  <c r="O51" i="21"/>
  <c r="Q51" i="21" s="1"/>
  <c r="O50" i="21"/>
  <c r="Q50" i="21" s="1"/>
  <c r="O49" i="21"/>
  <c r="Q49" i="21" s="1"/>
  <c r="O48" i="21"/>
  <c r="Q48" i="21" s="1"/>
  <c r="O47" i="21"/>
  <c r="Q47" i="21" s="1"/>
  <c r="O46" i="21"/>
  <c r="Q46" i="21" s="1"/>
  <c r="O45" i="21"/>
  <c r="Q45" i="21" s="1"/>
  <c r="O44" i="21"/>
  <c r="Q44" i="21" s="1"/>
  <c r="O43" i="21"/>
  <c r="Q43" i="21" s="1"/>
  <c r="O42" i="21"/>
  <c r="Q42" i="21" s="1"/>
  <c r="O41" i="21"/>
  <c r="Q41" i="21" s="1"/>
  <c r="PE70" i="30"/>
  <c r="PD70" i="30"/>
  <c r="PJ68" i="30"/>
  <c r="PJ71" i="30" s="1"/>
  <c r="PI68" i="30"/>
  <c r="PI71" i="30" s="1"/>
  <c r="PH68" i="30"/>
  <c r="PH71" i="30" s="1"/>
  <c r="PG68" i="30"/>
  <c r="PG71" i="30" s="1"/>
  <c r="PF68" i="30"/>
  <c r="PF71" i="30" s="1"/>
  <c r="PE68" i="30"/>
  <c r="PQ67" i="30"/>
  <c r="PK67" i="30"/>
  <c r="PQ66" i="30"/>
  <c r="PK66" i="30"/>
  <c r="PQ65" i="30"/>
  <c r="PK65" i="30"/>
  <c r="PQ64" i="30"/>
  <c r="PK64" i="30"/>
  <c r="PQ63" i="30"/>
  <c r="PK63" i="30"/>
  <c r="PQ62" i="30"/>
  <c r="PK62" i="30"/>
  <c r="PK61" i="30"/>
  <c r="PD61" i="30"/>
  <c r="PQ60" i="30"/>
  <c r="PK60" i="30"/>
  <c r="PK59" i="30"/>
  <c r="PQ58" i="30"/>
  <c r="PK58" i="30"/>
  <c r="PK57" i="30"/>
  <c r="PQ56" i="30"/>
  <c r="PK56" i="30"/>
  <c r="PK55" i="30"/>
  <c r="PK54" i="30"/>
  <c r="PD54" i="30"/>
  <c r="PQ53" i="30"/>
  <c r="PK53" i="30"/>
  <c r="PQ52" i="30"/>
  <c r="PK52" i="30"/>
  <c r="PQ51" i="30"/>
  <c r="PK51" i="30"/>
  <c r="PQ50" i="30"/>
  <c r="PK50" i="30"/>
  <c r="PQ49" i="30"/>
  <c r="PK49" i="30"/>
  <c r="PQ48" i="30"/>
  <c r="PK48" i="30"/>
  <c r="PQ47" i="30"/>
  <c r="PK47" i="30"/>
  <c r="PQ46" i="30"/>
  <c r="PK46" i="30"/>
  <c r="PQ45" i="30"/>
  <c r="PK45" i="30"/>
  <c r="PQ44" i="30"/>
  <c r="PK44" i="30"/>
  <c r="PQ43" i="30"/>
  <c r="PK43" i="30"/>
  <c r="PQ42" i="30"/>
  <c r="PK42" i="30"/>
  <c r="PQ41" i="30"/>
  <c r="PK41" i="30"/>
  <c r="PQ40" i="30"/>
  <c r="PK40" i="30"/>
  <c r="PQ39" i="30"/>
  <c r="PK39" i="30"/>
  <c r="PQ38" i="30"/>
  <c r="PK38" i="30"/>
  <c r="PQ37" i="30"/>
  <c r="PK37" i="30"/>
  <c r="PQ36" i="30"/>
  <c r="PK36" i="30"/>
  <c r="PQ35" i="30"/>
  <c r="PK35" i="30"/>
  <c r="PQ34" i="30"/>
  <c r="PK34" i="30"/>
  <c r="PQ33" i="30"/>
  <c r="PK33" i="30"/>
  <c r="PQ32" i="30"/>
  <c r="PK32" i="30"/>
  <c r="PK31" i="30"/>
  <c r="PQ30" i="30"/>
  <c r="PK30" i="30"/>
  <c r="PK29" i="30"/>
  <c r="PQ28" i="30"/>
  <c r="PK28" i="30"/>
  <c r="PK27" i="30"/>
  <c r="PQ26" i="30"/>
  <c r="PK26" i="30"/>
  <c r="PQ25" i="30"/>
  <c r="PK25" i="30"/>
  <c r="PQ24" i="30"/>
  <c r="PK24" i="30"/>
  <c r="PK23" i="30"/>
  <c r="PQ22" i="30"/>
  <c r="PK22" i="30"/>
  <c r="PK21" i="30"/>
  <c r="PQ20" i="30"/>
  <c r="PK20" i="30"/>
  <c r="PK19" i="30"/>
  <c r="PQ18" i="30"/>
  <c r="PK18" i="30"/>
  <c r="PK17" i="30"/>
  <c r="PQ16" i="30"/>
  <c r="PK16" i="30"/>
  <c r="PK15" i="30"/>
  <c r="PQ14" i="30"/>
  <c r="PK14" i="30"/>
  <c r="PK13" i="30"/>
  <c r="PQ12" i="30"/>
  <c r="PK12" i="30"/>
  <c r="PK11" i="30"/>
  <c r="PQ10" i="30"/>
  <c r="PK10" i="30"/>
  <c r="PK9" i="30"/>
  <c r="PQ8" i="30"/>
  <c r="PK8" i="30"/>
  <c r="PQ7" i="30"/>
  <c r="PK7" i="30"/>
  <c r="PK6" i="30"/>
  <c r="PK5" i="30"/>
  <c r="D25" i="42"/>
  <c r="D24" i="42"/>
  <c r="D23" i="42"/>
  <c r="D22" i="42"/>
  <c r="D21" i="42"/>
  <c r="D20" i="42"/>
  <c r="D19" i="42"/>
  <c r="D18" i="42"/>
  <c r="D17" i="42"/>
  <c r="D16" i="42"/>
  <c r="L29" i="42"/>
  <c r="C26" i="42"/>
  <c r="C29" i="42" s="1"/>
  <c r="E26" i="42"/>
  <c r="E29" i="42" s="1"/>
  <c r="G26" i="42"/>
  <c r="G29" i="42" s="1"/>
  <c r="H26" i="42"/>
  <c r="H29" i="42" s="1"/>
  <c r="K26" i="42"/>
  <c r="K29" i="42" s="1"/>
  <c r="L26" i="42"/>
  <c r="B26" i="42"/>
  <c r="C20" i="52"/>
  <c r="C18" i="52"/>
  <c r="B24" i="54"/>
  <c r="C24" i="54" s="1"/>
  <c r="I24" i="53"/>
  <c r="N24" i="53" s="1"/>
  <c r="N25" i="53" s="1"/>
  <c r="F14" i="51" s="1"/>
  <c r="F17" i="51" s="1"/>
  <c r="I21" i="53"/>
  <c r="N21" i="53" s="1"/>
  <c r="I19" i="53"/>
  <c r="N19" i="53" s="1"/>
  <c r="D20" i="51"/>
  <c r="D18" i="51"/>
  <c r="D16" i="51"/>
  <c r="G14" i="51"/>
  <c r="G17" i="51" s="1"/>
  <c r="N17" i="50"/>
  <c r="M17" i="50"/>
  <c r="L17" i="50"/>
  <c r="K17" i="50"/>
  <c r="J17" i="50"/>
  <c r="I17" i="50"/>
  <c r="H17" i="50"/>
  <c r="G17" i="50"/>
  <c r="F17" i="50"/>
  <c r="E17" i="50"/>
  <c r="D17" i="50"/>
  <c r="C17" i="50"/>
  <c r="N16" i="50"/>
  <c r="M16" i="50"/>
  <c r="L16" i="50"/>
  <c r="K16" i="50"/>
  <c r="J16" i="50"/>
  <c r="I16" i="50"/>
  <c r="H16" i="50"/>
  <c r="G16" i="50"/>
  <c r="F16" i="50"/>
  <c r="E16" i="50"/>
  <c r="D16" i="50"/>
  <c r="C16" i="50"/>
  <c r="N15" i="50"/>
  <c r="M15" i="50"/>
  <c r="L15" i="50"/>
  <c r="K15" i="50"/>
  <c r="J15" i="50"/>
  <c r="I15" i="50"/>
  <c r="H15" i="50"/>
  <c r="G15" i="50"/>
  <c r="F15" i="50"/>
  <c r="E15" i="50"/>
  <c r="D15" i="50"/>
  <c r="C15" i="50"/>
  <c r="N14" i="50"/>
  <c r="M14" i="50"/>
  <c r="L14" i="50"/>
  <c r="K14" i="50"/>
  <c r="J14" i="50"/>
  <c r="I14" i="50"/>
  <c r="H14" i="50"/>
  <c r="G14" i="50"/>
  <c r="F14" i="50"/>
  <c r="E14" i="50"/>
  <c r="D14" i="50"/>
  <c r="C14" i="50"/>
  <c r="N13" i="50"/>
  <c r="M13" i="50"/>
  <c r="L13" i="50"/>
  <c r="K13" i="50"/>
  <c r="J13" i="50"/>
  <c r="I13" i="50"/>
  <c r="H13" i="50"/>
  <c r="G13" i="50"/>
  <c r="F13" i="50"/>
  <c r="E13" i="50"/>
  <c r="D13" i="50"/>
  <c r="C13" i="50"/>
  <c r="N12" i="50"/>
  <c r="M12" i="50"/>
  <c r="L12" i="50"/>
  <c r="K12" i="50"/>
  <c r="J12" i="50"/>
  <c r="I12" i="50"/>
  <c r="H12" i="50"/>
  <c r="G12" i="50"/>
  <c r="F12" i="50"/>
  <c r="E12" i="50"/>
  <c r="D12" i="50"/>
  <c r="C12" i="50"/>
  <c r="N11" i="50"/>
  <c r="M11" i="50"/>
  <c r="L11" i="50"/>
  <c r="K11" i="50"/>
  <c r="J11" i="50"/>
  <c r="I11" i="50"/>
  <c r="H11" i="50"/>
  <c r="G11" i="50"/>
  <c r="F11" i="50"/>
  <c r="E11" i="50"/>
  <c r="D11" i="50"/>
  <c r="C11" i="50"/>
  <c r="N10" i="50"/>
  <c r="N18" i="50" s="1"/>
  <c r="N6" i="50" s="1"/>
  <c r="M10" i="50"/>
  <c r="M18" i="50" s="1"/>
  <c r="M6" i="50" s="1"/>
  <c r="L10" i="50"/>
  <c r="L18" i="50" s="1"/>
  <c r="L6" i="50" s="1"/>
  <c r="K10" i="50"/>
  <c r="K18" i="50" s="1"/>
  <c r="J10" i="50"/>
  <c r="J18" i="50" s="1"/>
  <c r="I10" i="50"/>
  <c r="I18" i="50" s="1"/>
  <c r="H10" i="50"/>
  <c r="H18" i="50" s="1"/>
  <c r="H6" i="50" s="1"/>
  <c r="G10" i="50"/>
  <c r="G18" i="50" s="1"/>
  <c r="F10" i="50"/>
  <c r="F18" i="50" s="1"/>
  <c r="E10" i="50"/>
  <c r="E18" i="50" s="1"/>
  <c r="D10" i="50"/>
  <c r="D18" i="50" s="1"/>
  <c r="C10" i="50"/>
  <c r="C18" i="50" s="1"/>
  <c r="K6" i="50"/>
  <c r="J6" i="50"/>
  <c r="I6" i="50"/>
  <c r="N5" i="50"/>
  <c r="M5" i="50"/>
  <c r="L5" i="50"/>
  <c r="K5" i="50"/>
  <c r="J5" i="50"/>
  <c r="I5" i="50"/>
  <c r="H5" i="50"/>
  <c r="G5" i="50"/>
  <c r="F5" i="50"/>
  <c r="E5" i="50"/>
  <c r="D5" i="50"/>
  <c r="C5" i="50"/>
  <c r="N4" i="50"/>
  <c r="M4" i="50"/>
  <c r="L4" i="50"/>
  <c r="K4" i="50"/>
  <c r="K7" i="50" s="1"/>
  <c r="J4" i="50"/>
  <c r="I4" i="50"/>
  <c r="H4" i="50"/>
  <c r="G4" i="50"/>
  <c r="F4" i="50"/>
  <c r="E4" i="50"/>
  <c r="D4" i="50"/>
  <c r="C4" i="50"/>
  <c r="AU90" i="49"/>
  <c r="BG87" i="49"/>
  <c r="C83" i="49"/>
  <c r="C82" i="49"/>
  <c r="BF81" i="49"/>
  <c r="C81" i="49"/>
  <c r="C80" i="49"/>
  <c r="BF79" i="49"/>
  <c r="E79" i="49"/>
  <c r="AY78" i="49"/>
  <c r="AU78" i="49"/>
  <c r="AQ78" i="49"/>
  <c r="AM78" i="49"/>
  <c r="AI78" i="49"/>
  <c r="AE78" i="49"/>
  <c r="AA78" i="49"/>
  <c r="W78" i="49"/>
  <c r="S78" i="49"/>
  <c r="O78" i="49"/>
  <c r="K78" i="49"/>
  <c r="G78" i="49"/>
  <c r="E78" i="49"/>
  <c r="BF77" i="49"/>
  <c r="BF76" i="49"/>
  <c r="AA76" i="49"/>
  <c r="AD72" i="49"/>
  <c r="AX71" i="49"/>
  <c r="AW71" i="49"/>
  <c r="AV71" i="49"/>
  <c r="AT71" i="49"/>
  <c r="AS71" i="49"/>
  <c r="AR71" i="49"/>
  <c r="AP71" i="49"/>
  <c r="AO71" i="49"/>
  <c r="AN71" i="49"/>
  <c r="AQ90" i="49" s="1"/>
  <c r="AL71" i="49"/>
  <c r="AK71" i="49"/>
  <c r="AJ71" i="49"/>
  <c r="AH71" i="49"/>
  <c r="AG71" i="49"/>
  <c r="AF71" i="49"/>
  <c r="AF72" i="49" s="1"/>
  <c r="AD71" i="49"/>
  <c r="AC71" i="49"/>
  <c r="AB71" i="49"/>
  <c r="Z71" i="49"/>
  <c r="Y71" i="49"/>
  <c r="X71" i="49"/>
  <c r="V71" i="49"/>
  <c r="U71" i="49"/>
  <c r="R71" i="49"/>
  <c r="Q71" i="49"/>
  <c r="N71" i="49"/>
  <c r="J71" i="49"/>
  <c r="F71" i="49"/>
  <c r="BO70" i="49"/>
  <c r="AX70" i="49"/>
  <c r="AW70" i="49"/>
  <c r="AW72" i="49" s="1"/>
  <c r="AV70" i="49"/>
  <c r="AT70" i="49"/>
  <c r="AT72" i="49" s="1"/>
  <c r="AS70" i="49"/>
  <c r="AS72" i="49" s="1"/>
  <c r="AR70" i="49"/>
  <c r="AU73" i="49" s="1"/>
  <c r="AO70" i="49"/>
  <c r="AO72" i="49" s="1"/>
  <c r="AK70" i="49"/>
  <c r="AH70" i="49"/>
  <c r="AG70" i="49"/>
  <c r="AG72" i="49" s="1"/>
  <c r="AF70" i="49"/>
  <c r="AI73" i="49" s="1"/>
  <c r="AC70" i="49"/>
  <c r="AC72" i="49" s="1"/>
  <c r="X70" i="49"/>
  <c r="AA73" i="49" s="1"/>
  <c r="V70" i="49"/>
  <c r="V72" i="49" s="1"/>
  <c r="U70" i="49"/>
  <c r="R70" i="49"/>
  <c r="Q70" i="49"/>
  <c r="Q72" i="49" s="1"/>
  <c r="BO69" i="49"/>
  <c r="BG69" i="49"/>
  <c r="BH69" i="49" s="1"/>
  <c r="BE69" i="49"/>
  <c r="BD69" i="49"/>
  <c r="BF69" i="49" s="1"/>
  <c r="BC69" i="49"/>
  <c r="AZ69" i="49"/>
  <c r="AY69" i="49"/>
  <c r="AU69" i="49"/>
  <c r="AQ69" i="49"/>
  <c r="AM69" i="49"/>
  <c r="AI69" i="49"/>
  <c r="AE69" i="49"/>
  <c r="AA69" i="49"/>
  <c r="W69" i="49"/>
  <c r="S69" i="49"/>
  <c r="O69" i="49"/>
  <c r="K69" i="49"/>
  <c r="G69" i="49"/>
  <c r="BG68" i="49"/>
  <c r="BE68" i="49"/>
  <c r="AZ68" i="49"/>
  <c r="AY68" i="49"/>
  <c r="AU68" i="49"/>
  <c r="AQ68" i="49"/>
  <c r="AM68" i="49"/>
  <c r="AI68" i="49"/>
  <c r="AE68" i="49"/>
  <c r="AA68" i="49"/>
  <c r="W68" i="49"/>
  <c r="S68" i="49"/>
  <c r="O68" i="49"/>
  <c r="K68" i="49"/>
  <c r="J68" i="49"/>
  <c r="G68" i="49"/>
  <c r="BJ67" i="49"/>
  <c r="BK67" i="49" s="1"/>
  <c r="BS67" i="49" s="1"/>
  <c r="BE67" i="49"/>
  <c r="AZ67" i="49"/>
  <c r="AY67" i="49"/>
  <c r="BF67" i="49" s="1"/>
  <c r="AU67" i="49"/>
  <c r="AQ67" i="49"/>
  <c r="AM67" i="49"/>
  <c r="BE66" i="49"/>
  <c r="AZ66" i="49"/>
  <c r="BF66" i="49" s="1"/>
  <c r="AY66" i="49"/>
  <c r="AU66" i="49"/>
  <c r="AQ66" i="49"/>
  <c r="AM66" i="49"/>
  <c r="AI66" i="49"/>
  <c r="AE66" i="49"/>
  <c r="AA66" i="49"/>
  <c r="W66" i="49"/>
  <c r="S66" i="49"/>
  <c r="L66" i="49"/>
  <c r="BG66" i="49" s="1"/>
  <c r="K66" i="49"/>
  <c r="G66" i="49"/>
  <c r="BG65" i="49"/>
  <c r="BH65" i="49" s="1"/>
  <c r="BE65" i="49"/>
  <c r="AZ65" i="49"/>
  <c r="AY65" i="49"/>
  <c r="AU65" i="49"/>
  <c r="AQ65" i="49"/>
  <c r="AM65" i="49"/>
  <c r="AI65" i="49"/>
  <c r="AE65" i="49"/>
  <c r="AA65" i="49"/>
  <c r="W65" i="49"/>
  <c r="S65" i="49"/>
  <c r="O65" i="49"/>
  <c r="L65" i="49"/>
  <c r="K65" i="49"/>
  <c r="G65" i="49"/>
  <c r="AZ64" i="49"/>
  <c r="AY64" i="49"/>
  <c r="BF64" i="49" s="1"/>
  <c r="AU64" i="49"/>
  <c r="AQ64" i="49"/>
  <c r="AM64" i="49"/>
  <c r="AI64" i="49"/>
  <c r="AE64" i="49"/>
  <c r="AA64" i="49"/>
  <c r="W64" i="49"/>
  <c r="S64" i="49"/>
  <c r="N64" i="49"/>
  <c r="L64" i="49"/>
  <c r="BG64" i="49" s="1"/>
  <c r="BH64" i="49" s="1"/>
  <c r="K64" i="49"/>
  <c r="G64" i="49"/>
  <c r="BC63" i="49"/>
  <c r="BE63" i="49" s="1"/>
  <c r="AZ63" i="49"/>
  <c r="AY63" i="49"/>
  <c r="AU63" i="49"/>
  <c r="AQ63" i="49"/>
  <c r="AM63" i="49"/>
  <c r="AI63" i="49"/>
  <c r="AE63" i="49"/>
  <c r="AA63" i="49"/>
  <c r="W63" i="49"/>
  <c r="S63" i="49"/>
  <c r="O63" i="49"/>
  <c r="K63" i="49"/>
  <c r="D63" i="49"/>
  <c r="BG63" i="49" s="1"/>
  <c r="BH63" i="49" s="1"/>
  <c r="BG62" i="49"/>
  <c r="BO62" i="49" s="1"/>
  <c r="BF62" i="49"/>
  <c r="BE62" i="49"/>
  <c r="AZ62" i="49"/>
  <c r="AY62" i="49"/>
  <c r="AU62" i="49"/>
  <c r="AQ62" i="49"/>
  <c r="AM62" i="49"/>
  <c r="AI62" i="49"/>
  <c r="AE62" i="49"/>
  <c r="AA62" i="49"/>
  <c r="W62" i="49"/>
  <c r="S62" i="49"/>
  <c r="O62" i="49"/>
  <c r="L62" i="49"/>
  <c r="K62" i="49"/>
  <c r="G62" i="49"/>
  <c r="BO61" i="49"/>
  <c r="BC61" i="49"/>
  <c r="BE61" i="49" s="1"/>
  <c r="AZ61" i="49"/>
  <c r="AY61" i="49"/>
  <c r="AU61" i="49"/>
  <c r="AQ61" i="49"/>
  <c r="AP61" i="49"/>
  <c r="AN61" i="49"/>
  <c r="AN70" i="49" s="1"/>
  <c r="AQ73" i="49" s="1"/>
  <c r="AM61" i="49"/>
  <c r="AL61" i="49"/>
  <c r="AJ61" i="49"/>
  <c r="AI61" i="49"/>
  <c r="AE61" i="49"/>
  <c r="AA61" i="49"/>
  <c r="W61" i="49"/>
  <c r="S61" i="49"/>
  <c r="L61" i="49"/>
  <c r="BG61" i="49" s="1"/>
  <c r="BH61" i="49" s="1"/>
  <c r="K61" i="49"/>
  <c r="G61" i="49"/>
  <c r="BE60" i="49"/>
  <c r="AZ60" i="49"/>
  <c r="AY60" i="49"/>
  <c r="BF60" i="49" s="1"/>
  <c r="AU60" i="49"/>
  <c r="AQ60" i="49"/>
  <c r="AM60" i="49"/>
  <c r="AI60" i="49"/>
  <c r="AE60" i="49"/>
  <c r="AA60" i="49"/>
  <c r="W60" i="49"/>
  <c r="S60" i="49"/>
  <c r="L60" i="49"/>
  <c r="K60" i="49"/>
  <c r="G60" i="49"/>
  <c r="BE59" i="49"/>
  <c r="AZ59" i="49"/>
  <c r="AY59" i="49"/>
  <c r="AU59" i="49"/>
  <c r="AQ59" i="49"/>
  <c r="AM59" i="49"/>
  <c r="AI59" i="49"/>
  <c r="AE59" i="49"/>
  <c r="AA59" i="49"/>
  <c r="W59" i="49"/>
  <c r="S59" i="49"/>
  <c r="L59" i="49"/>
  <c r="BG59" i="49" s="1"/>
  <c r="K59" i="49"/>
  <c r="G59" i="49"/>
  <c r="BE58" i="49"/>
  <c r="AZ58" i="49"/>
  <c r="AY58" i="49"/>
  <c r="AU58" i="49"/>
  <c r="AQ58" i="49"/>
  <c r="AM58" i="49"/>
  <c r="AI58" i="49"/>
  <c r="AE58" i="49"/>
  <c r="AA58" i="49"/>
  <c r="W58" i="49"/>
  <c r="S58" i="49"/>
  <c r="L58" i="49"/>
  <c r="BG58" i="49" s="1"/>
  <c r="BH58" i="49" s="1"/>
  <c r="K58" i="49"/>
  <c r="G58" i="49"/>
  <c r="BE57" i="49"/>
  <c r="AZ57" i="49"/>
  <c r="BF57" i="49" s="1"/>
  <c r="AY57" i="49"/>
  <c r="AU57" i="49"/>
  <c r="AQ57" i="49"/>
  <c r="AM57" i="49"/>
  <c r="AL57" i="49"/>
  <c r="AJ57" i="49"/>
  <c r="AI57" i="49"/>
  <c r="AE57" i="49"/>
  <c r="AD57" i="49"/>
  <c r="AD70" i="49" s="1"/>
  <c r="AB57" i="49"/>
  <c r="AB70" i="49" s="1"/>
  <c r="AA57" i="49"/>
  <c r="W57" i="49"/>
  <c r="P57" i="49"/>
  <c r="O57" i="49"/>
  <c r="K57" i="49"/>
  <c r="G57" i="49"/>
  <c r="BH56" i="49"/>
  <c r="BP56" i="49" s="1"/>
  <c r="BE56" i="49"/>
  <c r="AZ56" i="49"/>
  <c r="AY56" i="49"/>
  <c r="AU56" i="49"/>
  <c r="AQ56" i="49"/>
  <c r="AM56" i="49"/>
  <c r="AI56" i="49"/>
  <c r="AE56" i="49"/>
  <c r="BE55" i="49"/>
  <c r="AZ55" i="49"/>
  <c r="AY55" i="49"/>
  <c r="BF55" i="49" s="1"/>
  <c r="AU55" i="49"/>
  <c r="AQ55" i="49"/>
  <c r="AM55" i="49"/>
  <c r="AI55" i="49"/>
  <c r="AE55" i="49"/>
  <c r="AA55" i="49"/>
  <c r="W55" i="49"/>
  <c r="S55" i="49"/>
  <c r="L55" i="49"/>
  <c r="O55" i="49" s="1"/>
  <c r="K55" i="49"/>
  <c r="G55" i="49"/>
  <c r="BE54" i="49"/>
  <c r="AZ54" i="49"/>
  <c r="AY54" i="49"/>
  <c r="AU54" i="49"/>
  <c r="AQ54" i="49"/>
  <c r="AM54" i="49"/>
  <c r="AI54" i="49"/>
  <c r="AE54" i="49"/>
  <c r="AA54" i="49"/>
  <c r="W54" i="49"/>
  <c r="S54" i="49"/>
  <c r="L54" i="49"/>
  <c r="O54" i="49" s="1"/>
  <c r="K54" i="49"/>
  <c r="G54" i="49"/>
  <c r="BE53" i="49"/>
  <c r="AZ53" i="49"/>
  <c r="AY53" i="49"/>
  <c r="BF53" i="49" s="1"/>
  <c r="AU53" i="49"/>
  <c r="AQ53" i="49"/>
  <c r="AM53" i="49"/>
  <c r="AI53" i="49"/>
  <c r="AE53" i="49"/>
  <c r="AA53" i="49"/>
  <c r="W53" i="49"/>
  <c r="S53" i="49"/>
  <c r="L53" i="49"/>
  <c r="O53" i="49" s="1"/>
  <c r="K53" i="49"/>
  <c r="G53" i="49"/>
  <c r="BJ52" i="49"/>
  <c r="BK52" i="49" s="1"/>
  <c r="BE52" i="49"/>
  <c r="AZ52" i="49"/>
  <c r="AY52" i="49"/>
  <c r="BF52" i="49" s="1"/>
  <c r="AU52" i="49"/>
  <c r="AQ52" i="49"/>
  <c r="AM52" i="49"/>
  <c r="BJ51" i="49"/>
  <c r="BR51" i="49" s="1"/>
  <c r="BF51" i="49"/>
  <c r="BE51" i="49"/>
  <c r="AZ51" i="49"/>
  <c r="AY51" i="49"/>
  <c r="AU51" i="49"/>
  <c r="AQ51" i="49"/>
  <c r="AM51" i="49"/>
  <c r="BH50" i="49"/>
  <c r="AZ50" i="49"/>
  <c r="AY50" i="49"/>
  <c r="AU50" i="49"/>
  <c r="AQ50" i="49"/>
  <c r="AP50" i="49"/>
  <c r="AM50" i="49"/>
  <c r="AI50" i="49"/>
  <c r="AE50" i="49"/>
  <c r="BC49" i="49"/>
  <c r="BE49" i="49" s="1"/>
  <c r="AZ49" i="49"/>
  <c r="AY49" i="49"/>
  <c r="AU49" i="49"/>
  <c r="AQ49" i="49"/>
  <c r="AM49" i="49"/>
  <c r="AI49" i="49"/>
  <c r="AE49" i="49"/>
  <c r="AA49" i="49"/>
  <c r="W49" i="49"/>
  <c r="P49" i="49"/>
  <c r="O49" i="49"/>
  <c r="K49" i="49"/>
  <c r="G49" i="49"/>
  <c r="BF48" i="49"/>
  <c r="BE48" i="49"/>
  <c r="AZ48" i="49"/>
  <c r="AY48" i="49"/>
  <c r="AU48" i="49"/>
  <c r="AQ48" i="49"/>
  <c r="AM48" i="49"/>
  <c r="AI48" i="49"/>
  <c r="AE48" i="49"/>
  <c r="AA48" i="49"/>
  <c r="W48" i="49"/>
  <c r="P48" i="49"/>
  <c r="O48" i="49"/>
  <c r="K48" i="49"/>
  <c r="G48" i="49"/>
  <c r="BE47" i="49"/>
  <c r="AZ47" i="49"/>
  <c r="BF47" i="49" s="1"/>
  <c r="AY47" i="49"/>
  <c r="AU47" i="49"/>
  <c r="AQ47" i="49"/>
  <c r="AM47" i="49"/>
  <c r="AI47" i="49"/>
  <c r="AE47" i="49"/>
  <c r="AA47" i="49"/>
  <c r="W47" i="49"/>
  <c r="S47" i="49"/>
  <c r="L47" i="49"/>
  <c r="K47" i="49"/>
  <c r="G47" i="49"/>
  <c r="BG46" i="49"/>
  <c r="BO46" i="49" s="1"/>
  <c r="BC46" i="49"/>
  <c r="AZ46" i="49"/>
  <c r="AY46" i="49"/>
  <c r="AU46" i="49"/>
  <c r="AQ46" i="49"/>
  <c r="AM46" i="49"/>
  <c r="AI46" i="49"/>
  <c r="AE46" i="49"/>
  <c r="AA46" i="49"/>
  <c r="W46" i="49"/>
  <c r="S46" i="49"/>
  <c r="O46" i="49"/>
  <c r="K46" i="49"/>
  <c r="D46" i="49"/>
  <c r="G46" i="49" s="1"/>
  <c r="BE45" i="49"/>
  <c r="AZ45" i="49"/>
  <c r="AY45" i="49"/>
  <c r="AU45" i="49"/>
  <c r="AQ45" i="49"/>
  <c r="AM45" i="49"/>
  <c r="AI45" i="49"/>
  <c r="AE45" i="49"/>
  <c r="AA45" i="49"/>
  <c r="W45" i="49"/>
  <c r="S45" i="49"/>
  <c r="L45" i="49"/>
  <c r="BG45" i="49" s="1"/>
  <c r="K45" i="49"/>
  <c r="G45" i="49"/>
  <c r="BC44" i="49"/>
  <c r="BE44" i="49" s="1"/>
  <c r="AZ44" i="49"/>
  <c r="AY44" i="49"/>
  <c r="AU44" i="49"/>
  <c r="AQ44" i="49"/>
  <c r="AM44" i="49"/>
  <c r="AI44" i="49"/>
  <c r="AE44" i="49"/>
  <c r="AA44" i="49"/>
  <c r="W44" i="49"/>
  <c r="S44" i="49"/>
  <c r="O44" i="49"/>
  <c r="J44" i="49"/>
  <c r="J70" i="49" s="1"/>
  <c r="H44" i="49"/>
  <c r="G44" i="49"/>
  <c r="F44" i="49"/>
  <c r="BE43" i="49"/>
  <c r="AZ43" i="49"/>
  <c r="BF43" i="49" s="1"/>
  <c r="AY43" i="49"/>
  <c r="AU43" i="49"/>
  <c r="AQ43" i="49"/>
  <c r="AP43" i="49"/>
  <c r="AP70" i="49" s="1"/>
  <c r="AP72" i="49" s="1"/>
  <c r="AM43" i="49"/>
  <c r="AI43" i="49"/>
  <c r="AE43" i="49"/>
  <c r="AA43" i="49"/>
  <c r="W43" i="49"/>
  <c r="S43" i="49"/>
  <c r="L43" i="49"/>
  <c r="O43" i="49" s="1"/>
  <c r="K43" i="49"/>
  <c r="G43" i="49"/>
  <c r="BC42" i="49"/>
  <c r="AZ42" i="49"/>
  <c r="AY42" i="49"/>
  <c r="AU42" i="49"/>
  <c r="AQ42" i="49"/>
  <c r="AM42" i="49"/>
  <c r="AI42" i="49"/>
  <c r="AE42" i="49"/>
  <c r="AA42" i="49"/>
  <c r="T42" i="49"/>
  <c r="W42" i="49" s="1"/>
  <c r="S42" i="49"/>
  <c r="M42" i="49"/>
  <c r="L42" i="49"/>
  <c r="O42" i="49" s="1"/>
  <c r="K42" i="49"/>
  <c r="G42" i="49"/>
  <c r="D42" i="49"/>
  <c r="BJ41" i="49"/>
  <c r="BR41" i="49" s="1"/>
  <c r="BE41" i="49"/>
  <c r="AZ41" i="49"/>
  <c r="AY41" i="49"/>
  <c r="AU41" i="49"/>
  <c r="AQ41" i="49"/>
  <c r="AM41" i="49"/>
  <c r="BE40" i="49"/>
  <c r="AZ40" i="49"/>
  <c r="AY40" i="49"/>
  <c r="BF40" i="49" s="1"/>
  <c r="AU40" i="49"/>
  <c r="AQ40" i="49"/>
  <c r="AM40" i="49"/>
  <c r="AI40" i="49"/>
  <c r="AE40" i="49"/>
  <c r="AA40" i="49"/>
  <c r="W40" i="49"/>
  <c r="S40" i="49"/>
  <c r="L40" i="49"/>
  <c r="O40" i="49" s="1"/>
  <c r="K40" i="49"/>
  <c r="G40" i="49"/>
  <c r="BC39" i="49"/>
  <c r="BD39" i="49" s="1"/>
  <c r="AZ39" i="49"/>
  <c r="AY39" i="49"/>
  <c r="BF39" i="49" s="1"/>
  <c r="AU39" i="49"/>
  <c r="AQ39" i="49"/>
  <c r="AM39" i="49"/>
  <c r="AI39" i="49"/>
  <c r="AE39" i="49"/>
  <c r="AA39" i="49"/>
  <c r="W39" i="49"/>
  <c r="S39" i="49"/>
  <c r="L39" i="49"/>
  <c r="O39" i="49" s="1"/>
  <c r="K39" i="49"/>
  <c r="G39" i="49"/>
  <c r="BG38" i="49"/>
  <c r="BC38" i="49"/>
  <c r="BD38" i="49" s="1"/>
  <c r="AZ38" i="49"/>
  <c r="AY38" i="49"/>
  <c r="AU38" i="49"/>
  <c r="AQ38" i="49"/>
  <c r="AM38" i="49"/>
  <c r="AI38" i="49"/>
  <c r="AE38" i="49"/>
  <c r="AA38" i="49"/>
  <c r="W38" i="49"/>
  <c r="S38" i="49"/>
  <c r="O38" i="49"/>
  <c r="K38" i="49"/>
  <c r="G38" i="49"/>
  <c r="BG37" i="49"/>
  <c r="BO37" i="49" s="1"/>
  <c r="BE37" i="49"/>
  <c r="AZ37" i="49"/>
  <c r="AY37" i="49"/>
  <c r="AU37" i="49"/>
  <c r="AQ37" i="49"/>
  <c r="AM37" i="49"/>
  <c r="AI37" i="49"/>
  <c r="AE37" i="49"/>
  <c r="AA37" i="49"/>
  <c r="Z37" i="49"/>
  <c r="Z70" i="49" s="1"/>
  <c r="BG36" i="49"/>
  <c r="AZ36" i="49"/>
  <c r="AY36" i="49"/>
  <c r="AU36" i="49"/>
  <c r="AQ36" i="49"/>
  <c r="AM36" i="49"/>
  <c r="AI36" i="49"/>
  <c r="AE36" i="49"/>
  <c r="AA36" i="49"/>
  <c r="W36" i="49"/>
  <c r="S36" i="49"/>
  <c r="O36" i="49"/>
  <c r="K36" i="49"/>
  <c r="G36" i="49"/>
  <c r="BJ35" i="49"/>
  <c r="BK35" i="49" s="1"/>
  <c r="BS35" i="49" s="1"/>
  <c r="BE35" i="49"/>
  <c r="AZ35" i="49"/>
  <c r="AY35" i="49"/>
  <c r="BF35" i="49" s="1"/>
  <c r="AU35" i="49"/>
  <c r="AQ35" i="49"/>
  <c r="AM35" i="49"/>
  <c r="BE34" i="49"/>
  <c r="AZ34" i="49"/>
  <c r="BF34" i="49" s="1"/>
  <c r="AY34" i="49"/>
  <c r="AU34" i="49"/>
  <c r="AQ34" i="49"/>
  <c r="AM34" i="49"/>
  <c r="AI34" i="49"/>
  <c r="AE34" i="49"/>
  <c r="AA34" i="49"/>
  <c r="W34" i="49"/>
  <c r="S34" i="49"/>
  <c r="L34" i="49"/>
  <c r="BG34" i="49" s="1"/>
  <c r="BO33" i="49"/>
  <c r="BG33" i="49"/>
  <c r="BH33" i="49" s="1"/>
  <c r="AZ33" i="49"/>
  <c r="BF33" i="49" s="1"/>
  <c r="K33" i="49"/>
  <c r="G33" i="49"/>
  <c r="BE32" i="49"/>
  <c r="BD32" i="49"/>
  <c r="BC32" i="49"/>
  <c r="AZ32" i="49"/>
  <c r="AY32" i="49"/>
  <c r="AU32" i="49"/>
  <c r="AQ32" i="49"/>
  <c r="AM32" i="49"/>
  <c r="AI32" i="49"/>
  <c r="AE32" i="49"/>
  <c r="AA32" i="49"/>
  <c r="T32" i="49"/>
  <c r="W32" i="49" s="1"/>
  <c r="S32" i="49"/>
  <c r="O32" i="49"/>
  <c r="K32" i="49"/>
  <c r="G32" i="49"/>
  <c r="BE31" i="49"/>
  <c r="AZ31" i="49"/>
  <c r="AY31" i="49"/>
  <c r="AU31" i="49"/>
  <c r="AQ31" i="49"/>
  <c r="AM31" i="49"/>
  <c r="AI31" i="49"/>
  <c r="AE31" i="49"/>
  <c r="AA31" i="49"/>
  <c r="W31" i="49"/>
  <c r="P31" i="49"/>
  <c r="S31" i="49" s="1"/>
  <c r="L31" i="49"/>
  <c r="K31" i="49"/>
  <c r="G31" i="49"/>
  <c r="BC30" i="49"/>
  <c r="BD30" i="49" s="1"/>
  <c r="AZ30" i="49"/>
  <c r="AY30" i="49"/>
  <c r="AU30" i="49"/>
  <c r="AQ30" i="49"/>
  <c r="AM30" i="49"/>
  <c r="AI30" i="49"/>
  <c r="AE30" i="49"/>
  <c r="AA30" i="49"/>
  <c r="W30" i="49"/>
  <c r="P30" i="49"/>
  <c r="S30" i="49" s="1"/>
  <c r="O30" i="49"/>
  <c r="K30" i="49"/>
  <c r="G30" i="49"/>
  <c r="BG29" i="49"/>
  <c r="BC29" i="49"/>
  <c r="BD29" i="49" s="1"/>
  <c r="AZ29" i="49"/>
  <c r="AY29" i="49"/>
  <c r="AU29" i="49"/>
  <c r="AQ29" i="49"/>
  <c r="AM29" i="49"/>
  <c r="AI29" i="49"/>
  <c r="AE29" i="49"/>
  <c r="AA29" i="49"/>
  <c r="Y29" i="49"/>
  <c r="Y70" i="49" s="1"/>
  <c r="Y72" i="49" s="1"/>
  <c r="W29" i="49"/>
  <c r="S29" i="49"/>
  <c r="O29" i="49"/>
  <c r="K29" i="49"/>
  <c r="G29" i="49"/>
  <c r="BC28" i="49"/>
  <c r="BD28" i="49" s="1"/>
  <c r="AZ28" i="49"/>
  <c r="AY28" i="49"/>
  <c r="AU28" i="49"/>
  <c r="AQ28" i="49"/>
  <c r="AM28" i="49"/>
  <c r="AI28" i="49"/>
  <c r="AE28" i="49"/>
  <c r="AA28" i="49"/>
  <c r="W28" i="49"/>
  <c r="S28" i="49"/>
  <c r="O28" i="49"/>
  <c r="K28" i="49"/>
  <c r="H28" i="49"/>
  <c r="D28" i="49"/>
  <c r="G28" i="49" s="1"/>
  <c r="BM27" i="49"/>
  <c r="BU27" i="49" s="1"/>
  <c r="BK27" i="49"/>
  <c r="BL27" i="49" s="1"/>
  <c r="BT27" i="49" s="1"/>
  <c r="BJ27" i="49"/>
  <c r="BR27" i="49" s="1"/>
  <c r="BE27" i="49"/>
  <c r="AZ27" i="49"/>
  <c r="BF27" i="49" s="1"/>
  <c r="AY27" i="49"/>
  <c r="AU27" i="49"/>
  <c r="AQ27" i="49"/>
  <c r="AM27" i="49"/>
  <c r="BL26" i="49"/>
  <c r="BM26" i="49" s="1"/>
  <c r="BU26" i="49" s="1"/>
  <c r="BJ26" i="49"/>
  <c r="BK26" i="49" s="1"/>
  <c r="BS26" i="49" s="1"/>
  <c r="BE26" i="49"/>
  <c r="AZ26" i="49"/>
  <c r="AY26" i="49"/>
  <c r="AU26" i="49"/>
  <c r="AQ26" i="49"/>
  <c r="AM26" i="49"/>
  <c r="BG25" i="49"/>
  <c r="BO25" i="49" s="1"/>
  <c r="BF25" i="49"/>
  <c r="AZ25" i="49"/>
  <c r="AY25" i="49"/>
  <c r="AU25" i="49"/>
  <c r="AQ25" i="49"/>
  <c r="AM25" i="49"/>
  <c r="AI25" i="49"/>
  <c r="AE25" i="49"/>
  <c r="AA25" i="49"/>
  <c r="W25" i="49"/>
  <c r="S25" i="49"/>
  <c r="O25" i="49"/>
  <c r="K25" i="49"/>
  <c r="G25" i="49"/>
  <c r="F25" i="49"/>
  <c r="F70" i="49" s="1"/>
  <c r="F72" i="49" s="1"/>
  <c r="BG24" i="49"/>
  <c r="BE24" i="49"/>
  <c r="AZ24" i="49"/>
  <c r="AY24" i="49"/>
  <c r="BF24" i="49" s="1"/>
  <c r="AU24" i="49"/>
  <c r="AQ24" i="49"/>
  <c r="AM24" i="49"/>
  <c r="AI24" i="49"/>
  <c r="AE24" i="49"/>
  <c r="AA24" i="49"/>
  <c r="W24" i="49"/>
  <c r="S24" i="49"/>
  <c r="O24" i="49"/>
  <c r="K24" i="49"/>
  <c r="G24" i="49"/>
  <c r="BE23" i="49"/>
  <c r="AZ23" i="49"/>
  <c r="AY23" i="49"/>
  <c r="AU23" i="49"/>
  <c r="AQ23" i="49"/>
  <c r="AM23" i="49"/>
  <c r="AI23" i="49"/>
  <c r="AE23" i="49"/>
  <c r="AA23" i="49"/>
  <c r="W23" i="49"/>
  <c r="S23" i="49"/>
  <c r="L23" i="49"/>
  <c r="BG23" i="49" s="1"/>
  <c r="BO23" i="49" s="1"/>
  <c r="K23" i="49"/>
  <c r="G23" i="49"/>
  <c r="BG22" i="49"/>
  <c r="BO22" i="49" s="1"/>
  <c r="BE22" i="49"/>
  <c r="AZ22" i="49"/>
  <c r="AY22" i="49"/>
  <c r="AU22" i="49"/>
  <c r="AQ22" i="49"/>
  <c r="AM22" i="49"/>
  <c r="AI22" i="49"/>
  <c r="AE22" i="49"/>
  <c r="AA22" i="49"/>
  <c r="BG21" i="49"/>
  <c r="BO21" i="49" s="1"/>
  <c r="BF21" i="49"/>
  <c r="BE21" i="49"/>
  <c r="AZ21" i="49"/>
  <c r="AY21" i="49"/>
  <c r="AU21" i="49"/>
  <c r="AQ21" i="49"/>
  <c r="AM21" i="49"/>
  <c r="AI21" i="49"/>
  <c r="AE21" i="49"/>
  <c r="AA21" i="49"/>
  <c r="W21" i="49"/>
  <c r="S21" i="49"/>
  <c r="O21" i="49"/>
  <c r="L21" i="49"/>
  <c r="K21" i="49"/>
  <c r="G21" i="49"/>
  <c r="BK20" i="49"/>
  <c r="BJ20" i="49"/>
  <c r="BR20" i="49" s="1"/>
  <c r="BE20" i="49"/>
  <c r="AZ20" i="49"/>
  <c r="AY20" i="49"/>
  <c r="AU20" i="49"/>
  <c r="AQ20" i="49"/>
  <c r="AM20" i="49"/>
  <c r="BE19" i="49"/>
  <c r="AZ19" i="49"/>
  <c r="AY19" i="49"/>
  <c r="BF19" i="49" s="1"/>
  <c r="AU19" i="49"/>
  <c r="AQ19" i="49"/>
  <c r="AM19" i="49"/>
  <c r="AI19" i="49"/>
  <c r="AE19" i="49"/>
  <c r="AA19" i="49"/>
  <c r="W19" i="49"/>
  <c r="S19" i="49"/>
  <c r="L19" i="49"/>
  <c r="O19" i="49" s="1"/>
  <c r="K19" i="49"/>
  <c r="G19" i="49"/>
  <c r="BJ18" i="49"/>
  <c r="BK18" i="49" s="1"/>
  <c r="BS18" i="49" s="1"/>
  <c r="BE18" i="49"/>
  <c r="AZ18" i="49"/>
  <c r="AY18" i="49"/>
  <c r="BF18" i="49" s="1"/>
  <c r="AU18" i="49"/>
  <c r="AQ18" i="49"/>
  <c r="AM18" i="49"/>
  <c r="BC17" i="49"/>
  <c r="BC71" i="49" s="1"/>
  <c r="AZ17" i="49"/>
  <c r="AY17" i="49"/>
  <c r="AU17" i="49"/>
  <c r="AQ17" i="49"/>
  <c r="AM17" i="49"/>
  <c r="AI17" i="49"/>
  <c r="AE17" i="49"/>
  <c r="AA17" i="49"/>
  <c r="W17" i="49"/>
  <c r="S17" i="49"/>
  <c r="L17" i="49"/>
  <c r="L71" i="49" s="1"/>
  <c r="O76" i="49" s="1"/>
  <c r="K17" i="49"/>
  <c r="G17" i="49"/>
  <c r="BJ16" i="49"/>
  <c r="BR16" i="49" s="1"/>
  <c r="BE16" i="49"/>
  <c r="AZ16" i="49"/>
  <c r="AY16" i="49"/>
  <c r="AU16" i="49"/>
  <c r="AQ16" i="49"/>
  <c r="AM16" i="49"/>
  <c r="BG15" i="49"/>
  <c r="BE15" i="49"/>
  <c r="AZ15" i="49"/>
  <c r="AY15" i="49"/>
  <c r="BF15" i="49" s="1"/>
  <c r="AU15" i="49"/>
  <c r="AQ15" i="49"/>
  <c r="AM15" i="49"/>
  <c r="AI15" i="49"/>
  <c r="AE15" i="49"/>
  <c r="AA15" i="49"/>
  <c r="W15" i="49"/>
  <c r="S15" i="49"/>
  <c r="O15" i="49"/>
  <c r="N15" i="49"/>
  <c r="K15" i="49"/>
  <c r="G15" i="49"/>
  <c r="BG14" i="49"/>
  <c r="AZ14" i="49"/>
  <c r="BF14" i="49" s="1"/>
  <c r="AY14" i="49"/>
  <c r="AU14" i="49"/>
  <c r="AQ14" i="49"/>
  <c r="AM14" i="49"/>
  <c r="AI14" i="49"/>
  <c r="AE14" i="49"/>
  <c r="AA14" i="49"/>
  <c r="W14" i="49"/>
  <c r="S14" i="49"/>
  <c r="O14" i="49"/>
  <c r="K14" i="49"/>
  <c r="G14" i="49"/>
  <c r="BC13" i="49"/>
  <c r="BE13" i="49" s="1"/>
  <c r="AZ13" i="49"/>
  <c r="AY13" i="49"/>
  <c r="AU13" i="49"/>
  <c r="AQ13" i="49"/>
  <c r="AM13" i="49"/>
  <c r="AI13" i="49"/>
  <c r="AE13" i="49"/>
  <c r="AA13" i="49"/>
  <c r="W13" i="49"/>
  <c r="T13" i="49"/>
  <c r="S13" i="49"/>
  <c r="O13" i="49"/>
  <c r="K13" i="49"/>
  <c r="G13" i="49"/>
  <c r="BE12" i="49"/>
  <c r="AZ12" i="49"/>
  <c r="BF12" i="49" s="1"/>
  <c r="AY12" i="49"/>
  <c r="AU12" i="49"/>
  <c r="AQ12" i="49"/>
  <c r="AM12" i="49"/>
  <c r="AI12" i="49"/>
  <c r="AE12" i="49"/>
  <c r="AA12" i="49"/>
  <c r="W12" i="49"/>
  <c r="S12" i="49"/>
  <c r="L12" i="49"/>
  <c r="BG12" i="49" s="1"/>
  <c r="BH12" i="49" s="1"/>
  <c r="BP12" i="49" s="1"/>
  <c r="K12" i="49"/>
  <c r="G12" i="49"/>
  <c r="BE11" i="49"/>
  <c r="AZ11" i="49"/>
  <c r="AY11" i="49"/>
  <c r="AU11" i="49"/>
  <c r="AQ11" i="49"/>
  <c r="AM11" i="49"/>
  <c r="AI11" i="49"/>
  <c r="AE11" i="49"/>
  <c r="AA11" i="49"/>
  <c r="W11" i="49"/>
  <c r="S11" i="49"/>
  <c r="O11" i="49"/>
  <c r="K11" i="49"/>
  <c r="G11" i="49"/>
  <c r="E11" i="49"/>
  <c r="D11" i="49"/>
  <c r="BG11" i="49" s="1"/>
  <c r="BF10" i="49"/>
  <c r="BE10" i="49"/>
  <c r="AZ10" i="49"/>
  <c r="AY10" i="49"/>
  <c r="AU10" i="49"/>
  <c r="AQ10" i="49"/>
  <c r="AM10" i="49"/>
  <c r="AI10" i="49"/>
  <c r="AE10" i="49"/>
  <c r="AA10" i="49"/>
  <c r="W10" i="49"/>
  <c r="S10" i="49"/>
  <c r="L10" i="49"/>
  <c r="BG10" i="49" s="1"/>
  <c r="BO10" i="49" s="1"/>
  <c r="K10" i="49"/>
  <c r="G10" i="49"/>
  <c r="BO9" i="49"/>
  <c r="BH9" i="49"/>
  <c r="BG9" i="49"/>
  <c r="BE9" i="49"/>
  <c r="AZ9" i="49"/>
  <c r="BF9" i="49" s="1"/>
  <c r="AY9" i="49"/>
  <c r="AU9" i="49"/>
  <c r="AQ9" i="49"/>
  <c r="AM9" i="49"/>
  <c r="AI9" i="49"/>
  <c r="AE9" i="49"/>
  <c r="AA9" i="49"/>
  <c r="W9" i="49"/>
  <c r="O9" i="49"/>
  <c r="N9" i="49"/>
  <c r="BG8" i="49"/>
  <c r="AZ8" i="49"/>
  <c r="BF8" i="49" s="1"/>
  <c r="AY8" i="49"/>
  <c r="AU8" i="49"/>
  <c r="AQ8" i="49"/>
  <c r="AM8" i="49"/>
  <c r="AI8" i="49"/>
  <c r="AE8" i="49"/>
  <c r="AA8" i="49"/>
  <c r="W8" i="49"/>
  <c r="S8" i="49"/>
  <c r="O8" i="49"/>
  <c r="K8" i="49"/>
  <c r="G8" i="49"/>
  <c r="D8" i="49"/>
  <c r="BJ7" i="49"/>
  <c r="BR7" i="49" s="1"/>
  <c r="BE7" i="49"/>
  <c r="AZ7" i="49"/>
  <c r="AY7" i="49"/>
  <c r="AU7" i="49"/>
  <c r="AQ7" i="49"/>
  <c r="AM7" i="49"/>
  <c r="BE6" i="49"/>
  <c r="AZ6" i="49"/>
  <c r="AY6" i="49"/>
  <c r="BF6" i="49" s="1"/>
  <c r="AU6" i="49"/>
  <c r="AQ6" i="49"/>
  <c r="AM6" i="49"/>
  <c r="AI6" i="49"/>
  <c r="AE6" i="49"/>
  <c r="AA6" i="49"/>
  <c r="W6" i="49"/>
  <c r="S6" i="49"/>
  <c r="L6" i="49"/>
  <c r="O6" i="49" s="1"/>
  <c r="K6" i="49"/>
  <c r="G6" i="49"/>
  <c r="BE5" i="49"/>
  <c r="AZ5" i="49"/>
  <c r="AY5" i="49"/>
  <c r="AU5" i="49"/>
  <c r="AQ5" i="49"/>
  <c r="AM5" i="49"/>
  <c r="AI5" i="49"/>
  <c r="AE5" i="49"/>
  <c r="AA5" i="49"/>
  <c r="W5" i="49"/>
  <c r="S5" i="49"/>
  <c r="L5" i="49"/>
  <c r="K5" i="49"/>
  <c r="G5" i="49"/>
  <c r="BO59" i="49" l="1"/>
  <c r="BH59" i="49"/>
  <c r="BH45" i="49"/>
  <c r="BO45" i="49"/>
  <c r="BH34" i="49"/>
  <c r="BI34" i="49" s="1"/>
  <c r="BO34" i="49"/>
  <c r="W71" i="49"/>
  <c r="D17" i="55"/>
  <c r="D40" i="50"/>
  <c r="F40" i="50" s="1"/>
  <c r="O10" i="49"/>
  <c r="BD17" i="49"/>
  <c r="BG28" i="49"/>
  <c r="BH37" i="49"/>
  <c r="BI37" i="49" s="1"/>
  <c r="O58" i="49"/>
  <c r="O59" i="49"/>
  <c r="BL67" i="49"/>
  <c r="D22" i="55"/>
  <c r="D45" i="50"/>
  <c r="F45" i="50" s="1"/>
  <c r="BK7" i="49"/>
  <c r="BL7" i="49" s="1"/>
  <c r="BT7" i="49" s="1"/>
  <c r="N70" i="49"/>
  <c r="N72" i="49" s="1"/>
  <c r="O12" i="49"/>
  <c r="BF16" i="49"/>
  <c r="BE17" i="49"/>
  <c r="BL18" i="49"/>
  <c r="BH21" i="49"/>
  <c r="BH22" i="49"/>
  <c r="BI22" i="49" s="1"/>
  <c r="BH25" i="49"/>
  <c r="BF28" i="49"/>
  <c r="BG30" i="49"/>
  <c r="BF32" i="49"/>
  <c r="O34" i="49"/>
  <c r="Z72" i="49"/>
  <c r="BF37" i="49"/>
  <c r="BK41" i="49"/>
  <c r="BL41" i="49" s="1"/>
  <c r="BT41" i="49" s="1"/>
  <c r="BD44" i="49"/>
  <c r="BF44" i="49" s="1"/>
  <c r="BH46" i="49"/>
  <c r="BK51" i="49"/>
  <c r="BL51" i="49" s="1"/>
  <c r="BM51" i="49" s="1"/>
  <c r="BU51" i="49" s="1"/>
  <c r="BF56" i="49"/>
  <c r="AJ70" i="49"/>
  <c r="AJ72" i="49" s="1"/>
  <c r="O61" i="49"/>
  <c r="BD61" i="49"/>
  <c r="BF61" i="49" s="1"/>
  <c r="BH62" i="49"/>
  <c r="BP62" i="49" s="1"/>
  <c r="BF65" i="49"/>
  <c r="BO65" i="49"/>
  <c r="O66" i="49"/>
  <c r="AK72" i="49"/>
  <c r="X72" i="49"/>
  <c r="AH72" i="49"/>
  <c r="AX72" i="49"/>
  <c r="N22" i="53"/>
  <c r="E14" i="51" s="1"/>
  <c r="D14" i="51" s="1"/>
  <c r="D19" i="55"/>
  <c r="D42" i="50"/>
  <c r="F42" i="50" s="1"/>
  <c r="D23" i="55"/>
  <c r="D47" i="50"/>
  <c r="PD68" i="30"/>
  <c r="PM54" i="30"/>
  <c r="PO54" i="30"/>
  <c r="PO68" i="30" s="1"/>
  <c r="PO73" i="30" s="1"/>
  <c r="PP54" i="30"/>
  <c r="PP68" i="30" s="1"/>
  <c r="PP73" i="30" s="1"/>
  <c r="PN54" i="30"/>
  <c r="PL54" i="30"/>
  <c r="PN61" i="30"/>
  <c r="PL61" i="30"/>
  <c r="PQ61" i="30" s="1"/>
  <c r="PM61" i="30"/>
  <c r="PO61" i="30"/>
  <c r="PP61" i="30"/>
  <c r="G71" i="49"/>
  <c r="BG39" i="49"/>
  <c r="BO64" i="49"/>
  <c r="D21" i="55"/>
  <c r="D44" i="50"/>
  <c r="F44" i="50" s="1"/>
  <c r="I25" i="42"/>
  <c r="D25" i="55"/>
  <c r="L25" i="55" s="1"/>
  <c r="D49" i="50"/>
  <c r="BK16" i="49"/>
  <c r="BS16" i="49" s="1"/>
  <c r="O17" i="49"/>
  <c r="BF20" i="49"/>
  <c r="BF23" i="49"/>
  <c r="BE29" i="49"/>
  <c r="J72" i="49"/>
  <c r="BF45" i="49"/>
  <c r="BI56" i="49"/>
  <c r="BO58" i="49"/>
  <c r="G63" i="49"/>
  <c r="BO63" i="49"/>
  <c r="AR72" i="49"/>
  <c r="BA81" i="49" s="1"/>
  <c r="D18" i="55"/>
  <c r="D41" i="50"/>
  <c r="F41" i="50" s="1"/>
  <c r="AI70" i="49"/>
  <c r="BF7" i="49"/>
  <c r="D70" i="49"/>
  <c r="G73" i="49" s="1"/>
  <c r="T70" i="49"/>
  <c r="BG13" i="49"/>
  <c r="BF22" i="49"/>
  <c r="O23" i="49"/>
  <c r="BF26" i="49"/>
  <c r="BF31" i="49"/>
  <c r="BF41" i="49"/>
  <c r="BG42" i="49"/>
  <c r="BH42" i="49" s="1"/>
  <c r="BP42" i="49" s="1"/>
  <c r="BG43" i="49"/>
  <c r="O45" i="49"/>
  <c r="BD49" i="49"/>
  <c r="BF49" i="49" s="1"/>
  <c r="BF50" i="49"/>
  <c r="BF54" i="49"/>
  <c r="AL70" i="49"/>
  <c r="AL72" i="49" s="1"/>
  <c r="BF58" i="49"/>
  <c r="BF59" i="49"/>
  <c r="BD63" i="49"/>
  <c r="BF63" i="49" s="1"/>
  <c r="U72" i="49"/>
  <c r="R72" i="49"/>
  <c r="AA88" i="49" s="1"/>
  <c r="D16" i="55"/>
  <c r="D26" i="55" s="1"/>
  <c r="D29" i="55" s="1"/>
  <c r="D39" i="50"/>
  <c r="D20" i="55"/>
  <c r="D43" i="50"/>
  <c r="F43" i="50" s="1"/>
  <c r="D24" i="55"/>
  <c r="D48" i="50"/>
  <c r="P50" i="50"/>
  <c r="O4" i="50"/>
  <c r="P4" i="50" s="1"/>
  <c r="O5" i="50"/>
  <c r="D6" i="50"/>
  <c r="D7" i="50" s="1"/>
  <c r="F6" i="50"/>
  <c r="F7" i="50" s="1"/>
  <c r="J7" i="50"/>
  <c r="H7" i="50"/>
  <c r="L7" i="50"/>
  <c r="N7" i="50"/>
  <c r="E6" i="50"/>
  <c r="E7" i="50" s="1"/>
  <c r="G6" i="50"/>
  <c r="G7" i="50" s="1"/>
  <c r="O11" i="50"/>
  <c r="O12" i="50"/>
  <c r="O13" i="50"/>
  <c r="O14" i="50"/>
  <c r="O15" i="50"/>
  <c r="O16" i="50"/>
  <c r="O17" i="50"/>
  <c r="I7" i="50"/>
  <c r="M7" i="50"/>
  <c r="D31" i="42"/>
  <c r="PE71" i="30"/>
  <c r="PD71" i="30"/>
  <c r="PM68" i="30"/>
  <c r="PM73" i="30" s="1"/>
  <c r="PQ5" i="30"/>
  <c r="PQ9" i="30"/>
  <c r="PQ11" i="30"/>
  <c r="PQ13" i="30"/>
  <c r="PQ15" i="30"/>
  <c r="PQ17" i="30"/>
  <c r="PQ19" i="30"/>
  <c r="PQ21" i="30"/>
  <c r="PQ23" i="30"/>
  <c r="PQ27" i="30"/>
  <c r="PQ29" i="30"/>
  <c r="PQ31" i="30"/>
  <c r="PQ55" i="30"/>
  <c r="PQ57" i="30"/>
  <c r="PQ59" i="30"/>
  <c r="PK68" i="30"/>
  <c r="PQ6" i="30"/>
  <c r="Q53" i="21"/>
  <c r="O53" i="21"/>
  <c r="PM71" i="30"/>
  <c r="PO71" i="30"/>
  <c r="M28" i="42"/>
  <c r="G15" i="51"/>
  <c r="G19" i="51" s="1"/>
  <c r="F15" i="51"/>
  <c r="O18" i="50"/>
  <c r="C6" i="50"/>
  <c r="O10" i="50"/>
  <c r="L70" i="49"/>
  <c r="O5" i="49"/>
  <c r="BO11" i="49"/>
  <c r="BH11" i="49"/>
  <c r="BO12" i="49"/>
  <c r="BG6" i="49"/>
  <c r="BM7" i="49"/>
  <c r="BU7" i="49" s="1"/>
  <c r="BL16" i="49"/>
  <c r="BS7" i="49"/>
  <c r="BH8" i="49"/>
  <c r="BO8" i="49"/>
  <c r="BH10" i="49"/>
  <c r="BI12" i="49"/>
  <c r="BH13" i="49"/>
  <c r="BO13" i="49"/>
  <c r="BG5" i="49"/>
  <c r="BM18" i="49"/>
  <c r="BU18" i="49" s="1"/>
  <c r="BT18" i="49"/>
  <c r="AY70" i="49"/>
  <c r="BF5" i="49"/>
  <c r="O88" i="49"/>
  <c r="BB88" i="49"/>
  <c r="BC88" i="49" s="1"/>
  <c r="AA70" i="49"/>
  <c r="AA72" i="49" s="1"/>
  <c r="AQ70" i="49"/>
  <c r="BI9" i="49"/>
  <c r="BP9" i="49"/>
  <c r="BL20" i="49"/>
  <c r="BS20" i="49"/>
  <c r="BH23" i="49"/>
  <c r="BI25" i="49"/>
  <c r="BP25" i="49"/>
  <c r="BT26" i="49"/>
  <c r="BF30" i="49"/>
  <c r="BO30" i="49"/>
  <c r="BH30" i="49"/>
  <c r="BR35" i="49"/>
  <c r="BF38" i="49"/>
  <c r="BO38" i="49"/>
  <c r="BH38" i="49"/>
  <c r="BI45" i="49"/>
  <c r="BP45" i="49"/>
  <c r="BG48" i="49"/>
  <c r="S48" i="49"/>
  <c r="W70" i="49"/>
  <c r="W72" i="49" s="1"/>
  <c r="AM70" i="49"/>
  <c r="AM72" i="49" s="1"/>
  <c r="AA71" i="49"/>
  <c r="BF11" i="49"/>
  <c r="BH14" i="49"/>
  <c r="BO14" i="49"/>
  <c r="O71" i="49"/>
  <c r="BO24" i="49"/>
  <c r="BH24" i="49"/>
  <c r="D71" i="49"/>
  <c r="BE28" i="49"/>
  <c r="BF29" i="49"/>
  <c r="BO29" i="49"/>
  <c r="BH29" i="49"/>
  <c r="BG31" i="49"/>
  <c r="O31" i="49"/>
  <c r="BF36" i="49"/>
  <c r="BE39" i="49"/>
  <c r="BG44" i="49"/>
  <c r="K44" i="49"/>
  <c r="BG47" i="49"/>
  <c r="O47" i="49"/>
  <c r="BG55" i="49"/>
  <c r="BG57" i="49"/>
  <c r="S57" i="49"/>
  <c r="BO66" i="49"/>
  <c r="BH66" i="49"/>
  <c r="W73" i="49"/>
  <c r="BO28" i="49"/>
  <c r="BH28" i="49"/>
  <c r="BO39" i="49"/>
  <c r="BH39" i="49"/>
  <c r="BD42" i="49"/>
  <c r="BF42" i="49" s="1"/>
  <c r="BE42" i="49"/>
  <c r="BI46" i="49"/>
  <c r="BP46" i="49"/>
  <c r="BT51" i="49"/>
  <c r="BS52" i="49"/>
  <c r="BL52" i="49"/>
  <c r="BG53" i="49"/>
  <c r="BP58" i="49"/>
  <c r="BI58" i="49"/>
  <c r="BP61" i="49"/>
  <c r="BI61" i="49"/>
  <c r="AE70" i="49"/>
  <c r="AU70" i="49"/>
  <c r="G70" i="49"/>
  <c r="G72" i="49" s="1"/>
  <c r="S71" i="49"/>
  <c r="BC70" i="49"/>
  <c r="BC72" i="49" s="1"/>
  <c r="BD13" i="49"/>
  <c r="BD70" i="49" s="1"/>
  <c r="BO15" i="49"/>
  <c r="BH15" i="49"/>
  <c r="K71" i="49"/>
  <c r="BF17" i="49"/>
  <c r="BR18" i="49"/>
  <c r="BG19" i="49"/>
  <c r="BI21" i="49"/>
  <c r="BP21" i="49"/>
  <c r="BR26" i="49"/>
  <c r="BS27" i="49"/>
  <c r="BE30" i="49"/>
  <c r="BI33" i="49"/>
  <c r="BP33" i="49"/>
  <c r="BL35" i="49"/>
  <c r="BO36" i="49"/>
  <c r="BH36" i="49"/>
  <c r="BE38" i="49"/>
  <c r="BG40" i="49"/>
  <c r="BE46" i="49"/>
  <c r="BD46" i="49"/>
  <c r="BF46" i="49" s="1"/>
  <c r="S49" i="49"/>
  <c r="BG49" i="49"/>
  <c r="BI50" i="49"/>
  <c r="BP50" i="49"/>
  <c r="BR52" i="49"/>
  <c r="BI63" i="49"/>
  <c r="BP63" i="49"/>
  <c r="BP64" i="49"/>
  <c r="BI64" i="49"/>
  <c r="BM67" i="49"/>
  <c r="BU67" i="49" s="1"/>
  <c r="BT67" i="49"/>
  <c r="AY90" i="49"/>
  <c r="AV72" i="49"/>
  <c r="P70" i="49"/>
  <c r="T71" i="49"/>
  <c r="W76" i="49" s="1"/>
  <c r="AB72" i="49"/>
  <c r="AB77" i="49" s="1"/>
  <c r="AE73" i="49"/>
  <c r="BI59" i="49"/>
  <c r="BP59" i="49"/>
  <c r="BG60" i="49"/>
  <c r="O60" i="49"/>
  <c r="AE71" i="49"/>
  <c r="AU71" i="49"/>
  <c r="BO68" i="49"/>
  <c r="BH68" i="49"/>
  <c r="P71" i="49"/>
  <c r="S76" i="49" s="1"/>
  <c r="AU91" i="49"/>
  <c r="BG17" i="49"/>
  <c r="H71" i="49"/>
  <c r="K76" i="49" s="1"/>
  <c r="H70" i="49"/>
  <c r="BG32" i="49"/>
  <c r="M71" i="49"/>
  <c r="M70" i="49"/>
  <c r="BG54" i="49"/>
  <c r="AM71" i="49"/>
  <c r="AM73" i="49"/>
  <c r="AQ91" i="49"/>
  <c r="BI65" i="49"/>
  <c r="BP65" i="49"/>
  <c r="AI71" i="49"/>
  <c r="AI72" i="49" s="1"/>
  <c r="AY71" i="49"/>
  <c r="BF68" i="49"/>
  <c r="BP69" i="49"/>
  <c r="BI69" i="49"/>
  <c r="AN72" i="49"/>
  <c r="AN77" i="49" s="1"/>
  <c r="BI62" i="49"/>
  <c r="BR67" i="49"/>
  <c r="AQ71" i="49"/>
  <c r="AY73" i="49"/>
  <c r="O64" i="49"/>
  <c r="BE70" i="49" l="1"/>
  <c r="H44" i="50"/>
  <c r="M44" i="50"/>
  <c r="I44" i="50"/>
  <c r="K44" i="50"/>
  <c r="N44" i="50"/>
  <c r="J44" i="50"/>
  <c r="L44" i="50"/>
  <c r="O44" i="50"/>
  <c r="D52" i="50"/>
  <c r="F22" i="57" s="1"/>
  <c r="F47" i="50"/>
  <c r="BO42" i="49"/>
  <c r="BP22" i="49"/>
  <c r="E17" i="51"/>
  <c r="BJ56" i="49"/>
  <c r="BQ56" i="49"/>
  <c r="BA71" i="49"/>
  <c r="BS51" i="49"/>
  <c r="BE71" i="49"/>
  <c r="BE72" i="49" s="1"/>
  <c r="BP37" i="49"/>
  <c r="BP34" i="49"/>
  <c r="BI42" i="49"/>
  <c r="PP71" i="30"/>
  <c r="PQ54" i="30"/>
  <c r="PQ68" i="30" s="1"/>
  <c r="PL68" i="30"/>
  <c r="H42" i="50"/>
  <c r="L42" i="50"/>
  <c r="M42" i="50"/>
  <c r="I42" i="50"/>
  <c r="O42" i="50"/>
  <c r="K42" i="50"/>
  <c r="N42" i="50"/>
  <c r="J42" i="50"/>
  <c r="N45" i="50"/>
  <c r="J45" i="50"/>
  <c r="L45" i="50"/>
  <c r="O45" i="50"/>
  <c r="K45" i="50"/>
  <c r="H45" i="50"/>
  <c r="M45" i="50"/>
  <c r="I45" i="50"/>
  <c r="BM41" i="49"/>
  <c r="BU41" i="49" s="1"/>
  <c r="E15" i="51"/>
  <c r="N26" i="53"/>
  <c r="H43" i="50"/>
  <c r="M43" i="50"/>
  <c r="I43" i="50"/>
  <c r="K43" i="50"/>
  <c r="N43" i="50"/>
  <c r="L43" i="50"/>
  <c r="O43" i="50"/>
  <c r="J43" i="50"/>
  <c r="H49" i="50"/>
  <c r="O40" i="50"/>
  <c r="K40" i="50"/>
  <c r="M40" i="50"/>
  <c r="H40" i="50"/>
  <c r="L40" i="50"/>
  <c r="N40" i="50"/>
  <c r="J40" i="50"/>
  <c r="I40" i="50"/>
  <c r="BS41" i="49"/>
  <c r="P6" i="50"/>
  <c r="D51" i="50"/>
  <c r="F39" i="50"/>
  <c r="D38" i="50"/>
  <c r="D22" i="57" s="1"/>
  <c r="BH43" i="49"/>
  <c r="BO43" i="49"/>
  <c r="H41" i="50"/>
  <c r="L41" i="50"/>
  <c r="N41" i="50"/>
  <c r="M41" i="50"/>
  <c r="O41" i="50"/>
  <c r="K41" i="50"/>
  <c r="J41" i="50"/>
  <c r="I41" i="50"/>
  <c r="PN68" i="30"/>
  <c r="AJ77" i="49"/>
  <c r="AM86" i="49"/>
  <c r="C22" i="57" s="1"/>
  <c r="C23" i="57" s="1"/>
  <c r="P12" i="50"/>
  <c r="F19" i="51"/>
  <c r="F21" i="51" s="1"/>
  <c r="P16" i="50"/>
  <c r="P11" i="50"/>
  <c r="P10" i="50"/>
  <c r="P15" i="50"/>
  <c r="P13" i="50"/>
  <c r="P7" i="50"/>
  <c r="P14" i="50"/>
  <c r="C7" i="50"/>
  <c r="O6" i="50"/>
  <c r="O7" i="50" s="1"/>
  <c r="P17" i="50"/>
  <c r="BQ62" i="49"/>
  <c r="BJ62" i="49"/>
  <c r="BQ65" i="49"/>
  <c r="BJ65" i="49"/>
  <c r="BO54" i="49"/>
  <c r="BH54" i="49"/>
  <c r="BO60" i="49"/>
  <c r="BH60" i="49"/>
  <c r="BQ63" i="49"/>
  <c r="BJ63" i="49"/>
  <c r="BH40" i="49"/>
  <c r="BO40" i="49"/>
  <c r="BM35" i="49"/>
  <c r="BU35" i="49" s="1"/>
  <c r="BT35" i="49"/>
  <c r="BO19" i="49"/>
  <c r="BH19" i="49"/>
  <c r="BP15" i="49"/>
  <c r="BI15" i="49"/>
  <c r="AE72" i="49"/>
  <c r="AE85" i="49"/>
  <c r="BQ58" i="49"/>
  <c r="BJ58" i="49"/>
  <c r="BJ46" i="49"/>
  <c r="BQ46" i="49"/>
  <c r="BO57" i="49"/>
  <c r="BH57" i="49"/>
  <c r="BI29" i="49"/>
  <c r="BP29" i="49"/>
  <c r="G76" i="49"/>
  <c r="D72" i="49"/>
  <c r="G77" i="49" s="1"/>
  <c r="BJ22" i="49"/>
  <c r="BQ22" i="49"/>
  <c r="BP14" i="49"/>
  <c r="BI14" i="49"/>
  <c r="BI38" i="49"/>
  <c r="BP38" i="49"/>
  <c r="BI30" i="49"/>
  <c r="BP30" i="49"/>
  <c r="BF13" i="49"/>
  <c r="BF70" i="49" s="1"/>
  <c r="BF72" i="49" s="1"/>
  <c r="BI8" i="49"/>
  <c r="BP8" i="49"/>
  <c r="BP11" i="49"/>
  <c r="BI11" i="49"/>
  <c r="BB71" i="49"/>
  <c r="BB77" i="49" s="1"/>
  <c r="M72" i="49"/>
  <c r="AY91" i="49"/>
  <c r="BQ64" i="49"/>
  <c r="BJ64" i="49"/>
  <c r="BJ37" i="49"/>
  <c r="BQ37" i="49"/>
  <c r="BP66" i="49"/>
  <c r="BI66" i="49"/>
  <c r="BH55" i="49"/>
  <c r="BO55" i="49"/>
  <c r="BH44" i="49"/>
  <c r="BO44" i="49"/>
  <c r="BJ34" i="49"/>
  <c r="BQ34" i="49"/>
  <c r="BI24" i="49"/>
  <c r="BP24" i="49"/>
  <c r="BD71" i="49"/>
  <c r="BD72" i="49" s="1"/>
  <c r="T72" i="49"/>
  <c r="W77" i="49" s="1"/>
  <c r="BJ45" i="49"/>
  <c r="BQ45" i="49"/>
  <c r="BJ25" i="49"/>
  <c r="BQ25" i="49"/>
  <c r="BT20" i="49"/>
  <c r="BM20" i="49"/>
  <c r="BU20" i="49" s="1"/>
  <c r="AQ72" i="49"/>
  <c r="BO5" i="49"/>
  <c r="BH5" i="49"/>
  <c r="BQ12" i="49"/>
  <c r="BJ12" i="49"/>
  <c r="BH6" i="49"/>
  <c r="BO6" i="49"/>
  <c r="K73" i="49"/>
  <c r="H72" i="49"/>
  <c r="K77" i="49" s="1"/>
  <c r="K70" i="49"/>
  <c r="K72" i="49" s="1"/>
  <c r="BQ69" i="49"/>
  <c r="BJ69" i="49"/>
  <c r="BO17" i="49"/>
  <c r="BH17" i="49"/>
  <c r="BA70" i="49"/>
  <c r="BQ59" i="49"/>
  <c r="BJ59" i="49"/>
  <c r="S83" i="49"/>
  <c r="S73" i="49"/>
  <c r="S70" i="49"/>
  <c r="S72" i="49" s="1"/>
  <c r="P72" i="49"/>
  <c r="S77" i="49" s="1"/>
  <c r="BQ50" i="49"/>
  <c r="BJ50" i="49"/>
  <c r="BP36" i="49"/>
  <c r="BI36" i="49"/>
  <c r="BQ33" i="49"/>
  <c r="BJ33" i="49"/>
  <c r="BF71" i="49"/>
  <c r="BQ61" i="49"/>
  <c r="BJ61" i="49"/>
  <c r="BH53" i="49"/>
  <c r="BO53" i="49"/>
  <c r="BI39" i="49"/>
  <c r="BP39" i="49"/>
  <c r="BI28" i="49"/>
  <c r="BP28" i="49"/>
  <c r="BQ42" i="49"/>
  <c r="BJ42" i="49"/>
  <c r="BP23" i="49"/>
  <c r="BI23" i="49"/>
  <c r="AY72" i="49"/>
  <c r="BP10" i="49"/>
  <c r="BI10" i="49"/>
  <c r="BH32" i="49"/>
  <c r="BO32" i="49"/>
  <c r="BI68" i="49"/>
  <c r="BP68" i="49"/>
  <c r="BH49" i="49"/>
  <c r="BO49" i="49"/>
  <c r="BQ21" i="49"/>
  <c r="BJ21" i="49"/>
  <c r="AU72" i="49"/>
  <c r="BM52" i="49"/>
  <c r="BU52" i="49" s="1"/>
  <c r="BT52" i="49"/>
  <c r="BO47" i="49"/>
  <c r="BH47" i="49"/>
  <c r="BH31" i="49"/>
  <c r="BO31" i="49"/>
  <c r="BO48" i="49"/>
  <c r="BH48" i="49"/>
  <c r="BQ9" i="49"/>
  <c r="BJ9" i="49"/>
  <c r="BI13" i="49"/>
  <c r="BP13" i="49"/>
  <c r="BT16" i="49"/>
  <c r="BM16" i="49"/>
  <c r="BU16" i="49" s="1"/>
  <c r="O73" i="49"/>
  <c r="L72" i="49"/>
  <c r="O77" i="49" s="1"/>
  <c r="O70" i="49"/>
  <c r="O72" i="49" s="1"/>
  <c r="E22" i="57" l="1"/>
  <c r="G22" i="57"/>
  <c r="F31" i="42"/>
  <c r="E19" i="51"/>
  <c r="E21" i="51" s="1"/>
  <c r="E25" i="51" s="1"/>
  <c r="BR56" i="49"/>
  <c r="BK56" i="49"/>
  <c r="L47" i="50"/>
  <c r="M47" i="50"/>
  <c r="I47" i="50"/>
  <c r="H47" i="50"/>
  <c r="N47" i="50"/>
  <c r="O47" i="50"/>
  <c r="K47" i="50"/>
  <c r="J47" i="50"/>
  <c r="PN71" i="30"/>
  <c r="PN73" i="30"/>
  <c r="P41" i="50"/>
  <c r="H39" i="50"/>
  <c r="L39" i="50"/>
  <c r="L38" i="50" s="1"/>
  <c r="D15" i="57" s="1"/>
  <c r="K39" i="50"/>
  <c r="K38" i="50" s="1"/>
  <c r="D14" i="57" s="1"/>
  <c r="F38" i="50"/>
  <c r="I39" i="50"/>
  <c r="I38" i="50" s="1"/>
  <c r="D12" i="57" s="1"/>
  <c r="N39" i="50"/>
  <c r="N38" i="50" s="1"/>
  <c r="D17" i="57" s="1"/>
  <c r="M39" i="50"/>
  <c r="M38" i="50" s="1"/>
  <c r="D16" i="57" s="1"/>
  <c r="O39" i="50"/>
  <c r="O38" i="50" s="1"/>
  <c r="D18" i="57" s="1"/>
  <c r="J39" i="50"/>
  <c r="J38" i="50" s="1"/>
  <c r="D13" i="57" s="1"/>
  <c r="P40" i="50"/>
  <c r="P42" i="50"/>
  <c r="J31" i="42"/>
  <c r="D17" i="51"/>
  <c r="P44" i="50"/>
  <c r="BP43" i="49"/>
  <c r="BI43" i="49"/>
  <c r="BB81" i="49"/>
  <c r="BB82" i="49" s="1"/>
  <c r="BC82" i="49" s="1"/>
  <c r="P45" i="50"/>
  <c r="D15" i="51"/>
  <c r="P43" i="50"/>
  <c r="PL73" i="30"/>
  <c r="PL71" i="30"/>
  <c r="D19" i="51"/>
  <c r="F22" i="51"/>
  <c r="F23" i="51" s="1"/>
  <c r="D21" i="51"/>
  <c r="P18" i="50"/>
  <c r="BP31" i="49"/>
  <c r="BI31" i="49"/>
  <c r="BQ13" i="49"/>
  <c r="BJ13" i="49"/>
  <c r="BR21" i="49"/>
  <c r="BK21" i="49"/>
  <c r="BJ10" i="49"/>
  <c r="BQ10" i="49"/>
  <c r="BJ23" i="49"/>
  <c r="BQ23" i="49"/>
  <c r="BK61" i="49"/>
  <c r="BR61" i="49"/>
  <c r="BR33" i="49"/>
  <c r="BK33" i="49"/>
  <c r="BK50" i="49"/>
  <c r="BR50" i="49"/>
  <c r="BR59" i="49"/>
  <c r="BK59" i="49"/>
  <c r="BK12" i="49"/>
  <c r="BR12" i="49"/>
  <c r="BA72" i="49"/>
  <c r="BB87" i="49" s="1"/>
  <c r="BJ11" i="49"/>
  <c r="BQ11" i="49"/>
  <c r="BJ38" i="49"/>
  <c r="BQ38" i="49"/>
  <c r="BR22" i="49"/>
  <c r="BK22" i="49"/>
  <c r="BJ29" i="49"/>
  <c r="BQ29" i="49"/>
  <c r="BR46" i="49"/>
  <c r="BK46" i="49"/>
  <c r="BP40" i="49"/>
  <c r="BI40" i="49"/>
  <c r="BR9" i="49"/>
  <c r="BK9" i="49"/>
  <c r="BJ68" i="49"/>
  <c r="BQ68" i="49"/>
  <c r="BJ28" i="49"/>
  <c r="BQ28" i="49"/>
  <c r="BK69" i="49"/>
  <c r="BR69" i="49"/>
  <c r="BR25" i="49"/>
  <c r="BK25" i="49"/>
  <c r="BR34" i="49"/>
  <c r="BK34" i="49"/>
  <c r="BI55" i="49"/>
  <c r="BP55" i="49"/>
  <c r="BR37" i="49"/>
  <c r="BK37" i="49"/>
  <c r="BQ14" i="49"/>
  <c r="BJ14" i="49"/>
  <c r="BI57" i="49"/>
  <c r="BP57" i="49"/>
  <c r="BK58" i="49"/>
  <c r="BR58" i="49"/>
  <c r="BJ15" i="49"/>
  <c r="BQ15" i="49"/>
  <c r="BR63" i="49"/>
  <c r="BK63" i="49"/>
  <c r="BP54" i="49"/>
  <c r="BI54" i="49"/>
  <c r="BR62" i="49"/>
  <c r="BK62" i="49"/>
  <c r="BB70" i="49"/>
  <c r="BB76" i="49" s="1"/>
  <c r="BR42" i="49"/>
  <c r="BK42" i="49"/>
  <c r="BJ36" i="49"/>
  <c r="BQ36" i="49"/>
  <c r="BI5" i="49"/>
  <c r="BP5" i="49"/>
  <c r="BJ66" i="49"/>
  <c r="BQ66" i="49"/>
  <c r="BK64" i="49"/>
  <c r="BR64" i="49"/>
  <c r="BJ30" i="49"/>
  <c r="BQ30" i="49"/>
  <c r="BI48" i="49"/>
  <c r="BP48" i="49"/>
  <c r="BP47" i="49"/>
  <c r="BI47" i="49"/>
  <c r="BI49" i="49"/>
  <c r="BP49" i="49"/>
  <c r="BP32" i="49"/>
  <c r="BI32" i="49"/>
  <c r="BB72" i="49"/>
  <c r="BB78" i="49" s="1"/>
  <c r="BJ39" i="49"/>
  <c r="BQ39" i="49"/>
  <c r="BI53" i="49"/>
  <c r="BP53" i="49"/>
  <c r="BP17" i="49"/>
  <c r="BI17" i="49"/>
  <c r="BI6" i="49"/>
  <c r="BP6" i="49"/>
  <c r="BR45" i="49"/>
  <c r="BK45" i="49"/>
  <c r="BJ24" i="49"/>
  <c r="BQ24" i="49"/>
  <c r="BP44" i="49"/>
  <c r="BI44" i="49"/>
  <c r="BQ8" i="49"/>
  <c r="BJ8" i="49"/>
  <c r="BP19" i="49"/>
  <c r="BI19" i="49"/>
  <c r="BP60" i="49"/>
  <c r="BI60" i="49"/>
  <c r="BR65" i="49"/>
  <c r="BK65" i="49"/>
  <c r="E14" i="57" l="1"/>
  <c r="E22" i="51"/>
  <c r="N31" i="42" s="1"/>
  <c r="E15" i="57"/>
  <c r="E13" i="57"/>
  <c r="E12" i="57"/>
  <c r="H38" i="50"/>
  <c r="D11" i="57" s="1"/>
  <c r="P39" i="50"/>
  <c r="Q39" i="50" s="1"/>
  <c r="P47" i="50"/>
  <c r="BS56" i="49"/>
  <c r="BL56" i="49"/>
  <c r="E16" i="57"/>
  <c r="E17" i="57"/>
  <c r="BJ43" i="49"/>
  <c r="BQ43" i="49"/>
  <c r="E18" i="57"/>
  <c r="F24" i="51"/>
  <c r="D22" i="51"/>
  <c r="BR39" i="49"/>
  <c r="BK39" i="49"/>
  <c r="BL42" i="49"/>
  <c r="BS42" i="49"/>
  <c r="BL58" i="49"/>
  <c r="BS58" i="49"/>
  <c r="BQ55" i="49"/>
  <c r="BJ55" i="49"/>
  <c r="BR68" i="49"/>
  <c r="BK68" i="49"/>
  <c r="BK29" i="49"/>
  <c r="BR29" i="49"/>
  <c r="BK38" i="49"/>
  <c r="BR38" i="49"/>
  <c r="BR13" i="49"/>
  <c r="BK13" i="49"/>
  <c r="BJ60" i="49"/>
  <c r="BQ60" i="49"/>
  <c r="BR8" i="49"/>
  <c r="BK8" i="49"/>
  <c r="BQ49" i="49"/>
  <c r="BJ49" i="49"/>
  <c r="BJ48" i="49"/>
  <c r="BQ48" i="49"/>
  <c r="BL64" i="49"/>
  <c r="BS64" i="49"/>
  <c r="BJ5" i="49"/>
  <c r="BQ5" i="49"/>
  <c r="BJ54" i="49"/>
  <c r="BQ54" i="49"/>
  <c r="BS37" i="49"/>
  <c r="BL37" i="49"/>
  <c r="BL34" i="49"/>
  <c r="BS34" i="49"/>
  <c r="BL9" i="49"/>
  <c r="BS9" i="49"/>
  <c r="BS46" i="49"/>
  <c r="BL46" i="49"/>
  <c r="BL22" i="49"/>
  <c r="BS22" i="49"/>
  <c r="BL12" i="49"/>
  <c r="BS12" i="49"/>
  <c r="BS50" i="49"/>
  <c r="BL50" i="49"/>
  <c r="BL61" i="49"/>
  <c r="BS61" i="49"/>
  <c r="BR10" i="49"/>
  <c r="BK10" i="49"/>
  <c r="BK24" i="49"/>
  <c r="BR24" i="49"/>
  <c r="BQ6" i="49"/>
  <c r="BJ6" i="49"/>
  <c r="BQ53" i="49"/>
  <c r="BJ53" i="49"/>
  <c r="BQ32" i="49"/>
  <c r="BJ32" i="49"/>
  <c r="BJ47" i="49"/>
  <c r="BQ47" i="49"/>
  <c r="BK15" i="49"/>
  <c r="BR15" i="49"/>
  <c r="BJ57" i="49"/>
  <c r="BQ57" i="49"/>
  <c r="BL69" i="49"/>
  <c r="BS69" i="49"/>
  <c r="BR28" i="49"/>
  <c r="BK28" i="49"/>
  <c r="BK11" i="49"/>
  <c r="BR11" i="49"/>
  <c r="BS59" i="49"/>
  <c r="BL59" i="49"/>
  <c r="BL33" i="49"/>
  <c r="BS33" i="49"/>
  <c r="BL21" i="49"/>
  <c r="BS21" i="49"/>
  <c r="BJ31" i="49"/>
  <c r="BQ31" i="49"/>
  <c r="BL65" i="49"/>
  <c r="BS65" i="49"/>
  <c r="BJ19" i="49"/>
  <c r="BQ19" i="49"/>
  <c r="BQ44" i="49"/>
  <c r="BJ44" i="49"/>
  <c r="BS45" i="49"/>
  <c r="BL45" i="49"/>
  <c r="BJ17" i="49"/>
  <c r="BQ17" i="49"/>
  <c r="BK30" i="49"/>
  <c r="BR30" i="49"/>
  <c r="BK66" i="49"/>
  <c r="BR66" i="49"/>
  <c r="BK36" i="49"/>
  <c r="BR36" i="49"/>
  <c r="BL62" i="49"/>
  <c r="BS62" i="49"/>
  <c r="BL63" i="49"/>
  <c r="BS63" i="49"/>
  <c r="BK14" i="49"/>
  <c r="BR14" i="49"/>
  <c r="BL25" i="49"/>
  <c r="BS25" i="49"/>
  <c r="BQ40" i="49"/>
  <c r="BJ40" i="49"/>
  <c r="BC87" i="49"/>
  <c r="BC90" i="49" s="1"/>
  <c r="BD90" i="49" s="1"/>
  <c r="BB90" i="49"/>
  <c r="BH87" i="49"/>
  <c r="BK23" i="49"/>
  <c r="BR23" i="49"/>
  <c r="BM56" i="49" l="1"/>
  <c r="BU56" i="49" s="1"/>
  <c r="BT56" i="49"/>
  <c r="D19" i="57"/>
  <c r="E11" i="57"/>
  <c r="BR43" i="49"/>
  <c r="BK43" i="49"/>
  <c r="E23" i="51"/>
  <c r="E28" i="51" s="1"/>
  <c r="F26" i="51"/>
  <c r="D23" i="51"/>
  <c r="BL23" i="49"/>
  <c r="BS23" i="49"/>
  <c r="BK40" i="49"/>
  <c r="BR40" i="49"/>
  <c r="BM45" i="49"/>
  <c r="BU45" i="49" s="1"/>
  <c r="BT45" i="49"/>
  <c r="BK32" i="49"/>
  <c r="BR32" i="49"/>
  <c r="BK6" i="49"/>
  <c r="BR6" i="49"/>
  <c r="BS10" i="49"/>
  <c r="BL10" i="49"/>
  <c r="BM50" i="49"/>
  <c r="BU50" i="49" s="1"/>
  <c r="BT50" i="49"/>
  <c r="BM37" i="49"/>
  <c r="BU37" i="49" s="1"/>
  <c r="BT37" i="49"/>
  <c r="BL8" i="49"/>
  <c r="BS8" i="49"/>
  <c r="BL13" i="49"/>
  <c r="BS13" i="49"/>
  <c r="BR55" i="49"/>
  <c r="BK55" i="49"/>
  <c r="BM25" i="49"/>
  <c r="BU25" i="49" s="1"/>
  <c r="BT25" i="49"/>
  <c r="BM63" i="49"/>
  <c r="BU63" i="49" s="1"/>
  <c r="BT63" i="49"/>
  <c r="BS36" i="49"/>
  <c r="BL36" i="49"/>
  <c r="BS30" i="49"/>
  <c r="BL30" i="49"/>
  <c r="BK19" i="49"/>
  <c r="BR19" i="49"/>
  <c r="BK31" i="49"/>
  <c r="BR31" i="49"/>
  <c r="BM33" i="49"/>
  <c r="BU33" i="49" s="1"/>
  <c r="BT33" i="49"/>
  <c r="BS11" i="49"/>
  <c r="BL11" i="49"/>
  <c r="BT69" i="49"/>
  <c r="BM69" i="49"/>
  <c r="BU69" i="49" s="1"/>
  <c r="BS15" i="49"/>
  <c r="BL15" i="49"/>
  <c r="BM22" i="49"/>
  <c r="BU22" i="49" s="1"/>
  <c r="BT22" i="49"/>
  <c r="BM9" i="49"/>
  <c r="BU9" i="49" s="1"/>
  <c r="BT9" i="49"/>
  <c r="BR5" i="49"/>
  <c r="BK5" i="49"/>
  <c r="BR48" i="49"/>
  <c r="BK48" i="49"/>
  <c r="BS29" i="49"/>
  <c r="BL29" i="49"/>
  <c r="BM42" i="49"/>
  <c r="BU42" i="49" s="1"/>
  <c r="BT42" i="49"/>
  <c r="BK44" i="49"/>
  <c r="BR44" i="49"/>
  <c r="BM59" i="49"/>
  <c r="BU59" i="49" s="1"/>
  <c r="BT59" i="49"/>
  <c r="BS28" i="49"/>
  <c r="BL28" i="49"/>
  <c r="BR53" i="49"/>
  <c r="BK53" i="49"/>
  <c r="BM46" i="49"/>
  <c r="BU46" i="49" s="1"/>
  <c r="BT46" i="49"/>
  <c r="BR49" i="49"/>
  <c r="BK49" i="49"/>
  <c r="BS68" i="49"/>
  <c r="BL68" i="49"/>
  <c r="BS39" i="49"/>
  <c r="BL39" i="49"/>
  <c r="BL14" i="49"/>
  <c r="BS14" i="49"/>
  <c r="BM62" i="49"/>
  <c r="BU62" i="49" s="1"/>
  <c r="BT62" i="49"/>
  <c r="BS66" i="49"/>
  <c r="BL66" i="49"/>
  <c r="BK17" i="49"/>
  <c r="BR17" i="49"/>
  <c r="BM65" i="49"/>
  <c r="BU65" i="49" s="1"/>
  <c r="BT65" i="49"/>
  <c r="BM21" i="49"/>
  <c r="BU21" i="49" s="1"/>
  <c r="BT21" i="49"/>
  <c r="BR57" i="49"/>
  <c r="BK57" i="49"/>
  <c r="BK47" i="49"/>
  <c r="BR47" i="49"/>
  <c r="BS24" i="49"/>
  <c r="BL24" i="49"/>
  <c r="BT61" i="49"/>
  <c r="BM61" i="49"/>
  <c r="BU61" i="49" s="1"/>
  <c r="BM12" i="49"/>
  <c r="BU12" i="49" s="1"/>
  <c r="BT12" i="49"/>
  <c r="BM34" i="49"/>
  <c r="BU34" i="49" s="1"/>
  <c r="BT34" i="49"/>
  <c r="BK54" i="49"/>
  <c r="BR54" i="49"/>
  <c r="BT64" i="49"/>
  <c r="BM64" i="49"/>
  <c r="BU64" i="49" s="1"/>
  <c r="BK60" i="49"/>
  <c r="BR60" i="49"/>
  <c r="BS38" i="49"/>
  <c r="BL38" i="49"/>
  <c r="BT58" i="49"/>
  <c r="BM58" i="49"/>
  <c r="BU58" i="49" s="1"/>
  <c r="BL43" i="49" l="1"/>
  <c r="BS43" i="49"/>
  <c r="D23" i="57"/>
  <c r="E19" i="57"/>
  <c r="BM38" i="49"/>
  <c r="BU38" i="49" s="1"/>
  <c r="BT38" i="49"/>
  <c r="BM39" i="49"/>
  <c r="BU39" i="49" s="1"/>
  <c r="BT39" i="49"/>
  <c r="BL49" i="49"/>
  <c r="BS49" i="49"/>
  <c r="BL53" i="49"/>
  <c r="BS53" i="49"/>
  <c r="BT29" i="49"/>
  <c r="BM29" i="49"/>
  <c r="BU29" i="49" s="1"/>
  <c r="BS5" i="49"/>
  <c r="BL5" i="49"/>
  <c r="BM36" i="49"/>
  <c r="BU36" i="49" s="1"/>
  <c r="BT36" i="49"/>
  <c r="BM10" i="49"/>
  <c r="BU10" i="49" s="1"/>
  <c r="BT10" i="49"/>
  <c r="BS47" i="49"/>
  <c r="BL47" i="49"/>
  <c r="BS17" i="49"/>
  <c r="BL17" i="49"/>
  <c r="BS19" i="49"/>
  <c r="BL19" i="49"/>
  <c r="BT13" i="49"/>
  <c r="BM13" i="49"/>
  <c r="BU13" i="49" s="1"/>
  <c r="BL32" i="49"/>
  <c r="BS32" i="49"/>
  <c r="BL40" i="49"/>
  <c r="BS40" i="49"/>
  <c r="BT24" i="49"/>
  <c r="BM24" i="49"/>
  <c r="BU24" i="49" s="1"/>
  <c r="BS57" i="49"/>
  <c r="BL57" i="49"/>
  <c r="BT66" i="49"/>
  <c r="BM66" i="49"/>
  <c r="BU66" i="49" s="1"/>
  <c r="BM68" i="49"/>
  <c r="BU68" i="49" s="1"/>
  <c r="BT68" i="49"/>
  <c r="BM28" i="49"/>
  <c r="BU28" i="49" s="1"/>
  <c r="BT28" i="49"/>
  <c r="BS48" i="49"/>
  <c r="BL48" i="49"/>
  <c r="BT15" i="49"/>
  <c r="BM15" i="49"/>
  <c r="BU15" i="49" s="1"/>
  <c r="BT11" i="49"/>
  <c r="BM11" i="49"/>
  <c r="BU11" i="49" s="1"/>
  <c r="BM30" i="49"/>
  <c r="BU30" i="49" s="1"/>
  <c r="BT30" i="49"/>
  <c r="BL55" i="49"/>
  <c r="BS55" i="49"/>
  <c r="BS60" i="49"/>
  <c r="BL60" i="49"/>
  <c r="BS54" i="49"/>
  <c r="BL54" i="49"/>
  <c r="BT14" i="49"/>
  <c r="BM14" i="49"/>
  <c r="BU14" i="49" s="1"/>
  <c r="BS44" i="49"/>
  <c r="BL44" i="49"/>
  <c r="BS31" i="49"/>
  <c r="BL31" i="49"/>
  <c r="BM8" i="49"/>
  <c r="BU8" i="49" s="1"/>
  <c r="BT8" i="49"/>
  <c r="BL6" i="49"/>
  <c r="BS6" i="49"/>
  <c r="BT23" i="49"/>
  <c r="BM23" i="49"/>
  <c r="BU23" i="49" s="1"/>
  <c r="BM43" i="49" l="1"/>
  <c r="BU43" i="49" s="1"/>
  <c r="BT43" i="49"/>
  <c r="BT44" i="49"/>
  <c r="BM44" i="49"/>
  <c r="BU44" i="49" s="1"/>
  <c r="BT54" i="49"/>
  <c r="BM54" i="49"/>
  <c r="BU54" i="49" s="1"/>
  <c r="BM48" i="49"/>
  <c r="BU48" i="49" s="1"/>
  <c r="BT48" i="49"/>
  <c r="BM57" i="49"/>
  <c r="BU57" i="49" s="1"/>
  <c r="BT57" i="49"/>
  <c r="BT17" i="49"/>
  <c r="BM17" i="49"/>
  <c r="BU17" i="49" s="1"/>
  <c r="BM5" i="49"/>
  <c r="BU5" i="49" s="1"/>
  <c r="BT5" i="49"/>
  <c r="BM55" i="49"/>
  <c r="BU55" i="49" s="1"/>
  <c r="BT55" i="49"/>
  <c r="BM40" i="49"/>
  <c r="BU40" i="49" s="1"/>
  <c r="BT40" i="49"/>
  <c r="BM53" i="49"/>
  <c r="BU53" i="49" s="1"/>
  <c r="BT53" i="49"/>
  <c r="BT31" i="49"/>
  <c r="BM31" i="49"/>
  <c r="BU31" i="49" s="1"/>
  <c r="BT60" i="49"/>
  <c r="BM60" i="49"/>
  <c r="BU60" i="49" s="1"/>
  <c r="BT19" i="49"/>
  <c r="BM19" i="49"/>
  <c r="BU19" i="49" s="1"/>
  <c r="BT47" i="49"/>
  <c r="BM47" i="49"/>
  <c r="BU47" i="49" s="1"/>
  <c r="BT6" i="49"/>
  <c r="BM6" i="49"/>
  <c r="BU6" i="49" s="1"/>
  <c r="BT32" i="49"/>
  <c r="BM32" i="49"/>
  <c r="BU32" i="49" s="1"/>
  <c r="BM49" i="49"/>
  <c r="BU49" i="49" s="1"/>
  <c r="BT49" i="49"/>
  <c r="OY36" i="30" l="1"/>
  <c r="OK70" i="30"/>
  <c r="NW70" i="30"/>
  <c r="OY67" i="30"/>
  <c r="OY12" i="30"/>
  <c r="OY11" i="30"/>
  <c r="OK67" i="30"/>
  <c r="OK46" i="30"/>
  <c r="OK36" i="30"/>
  <c r="OK12" i="30"/>
  <c r="OK11" i="30"/>
  <c r="NW67" i="30"/>
  <c r="NW36" i="30"/>
  <c r="NW12" i="30"/>
  <c r="NW11" i="30"/>
  <c r="NW61" i="30" l="1"/>
  <c r="PC7" i="30" l="1"/>
  <c r="PC25" i="30"/>
  <c r="PC26" i="30"/>
  <c r="OW6" i="30"/>
  <c r="OW7" i="30"/>
  <c r="OW8" i="30"/>
  <c r="OW9" i="30"/>
  <c r="OW10" i="30"/>
  <c r="OW11" i="30"/>
  <c r="OW12" i="30"/>
  <c r="OW13" i="30"/>
  <c r="OW14" i="30"/>
  <c r="OW15" i="30"/>
  <c r="OW16" i="30"/>
  <c r="OW17" i="30"/>
  <c r="OW18" i="30"/>
  <c r="OW19" i="30"/>
  <c r="OW20" i="30"/>
  <c r="OW21" i="30"/>
  <c r="OW22" i="30"/>
  <c r="OW23" i="30"/>
  <c r="OW24" i="30"/>
  <c r="OW25" i="30"/>
  <c r="OW26" i="30"/>
  <c r="OW27" i="30"/>
  <c r="OW28" i="30"/>
  <c r="OW29" i="30"/>
  <c r="OW30" i="30"/>
  <c r="OW31" i="30"/>
  <c r="OW32" i="30"/>
  <c r="OW33" i="30"/>
  <c r="OW34" i="30"/>
  <c r="OW35" i="30"/>
  <c r="OW36" i="30"/>
  <c r="OW37" i="30"/>
  <c r="OW38" i="30"/>
  <c r="OW39" i="30"/>
  <c r="OW40" i="30"/>
  <c r="OW41" i="30"/>
  <c r="OW42" i="30"/>
  <c r="OW43" i="30"/>
  <c r="OW44" i="30"/>
  <c r="OW45" i="30"/>
  <c r="OW46" i="30"/>
  <c r="OW47" i="30"/>
  <c r="OW48" i="30"/>
  <c r="OW49" i="30"/>
  <c r="OW50" i="30"/>
  <c r="OW51" i="30"/>
  <c r="OW52" i="30"/>
  <c r="OW53" i="30"/>
  <c r="OW54" i="30"/>
  <c r="OW55" i="30"/>
  <c r="OW56" i="30"/>
  <c r="OW57" i="30"/>
  <c r="OW58" i="30"/>
  <c r="OW59" i="30"/>
  <c r="OW60" i="30"/>
  <c r="OW61" i="30"/>
  <c r="OW62" i="30"/>
  <c r="OW63" i="30"/>
  <c r="OW64" i="30"/>
  <c r="OW65" i="30"/>
  <c r="OW66" i="30"/>
  <c r="OW67" i="30"/>
  <c r="OX66" i="30"/>
  <c r="OY66" i="30"/>
  <c r="OZ66" i="30"/>
  <c r="PA66" i="30"/>
  <c r="PB66" i="30"/>
  <c r="OX49" i="30"/>
  <c r="OY49" i="30"/>
  <c r="OZ49" i="30"/>
  <c r="PA49" i="30"/>
  <c r="PB49" i="30"/>
  <c r="OX48" i="30"/>
  <c r="OY48" i="30"/>
  <c r="OZ48" i="30"/>
  <c r="PA48" i="30"/>
  <c r="PB48" i="30"/>
  <c r="OX39" i="30"/>
  <c r="OY39" i="30"/>
  <c r="OZ39" i="30"/>
  <c r="PA39" i="30"/>
  <c r="PB39" i="30"/>
  <c r="OX32" i="30"/>
  <c r="OZ32" i="30"/>
  <c r="PA32" i="30"/>
  <c r="PB32" i="30"/>
  <c r="OX19" i="30"/>
  <c r="OY19" i="30"/>
  <c r="OZ19" i="30"/>
  <c r="PA19" i="30"/>
  <c r="PB19" i="30"/>
  <c r="OX15" i="30"/>
  <c r="OY15" i="30"/>
  <c r="OZ15" i="30"/>
  <c r="PA15" i="30"/>
  <c r="PB15" i="30"/>
  <c r="OX14" i="30"/>
  <c r="OY14" i="30"/>
  <c r="OZ14" i="30"/>
  <c r="PA14" i="30"/>
  <c r="PB14" i="30"/>
  <c r="OO7" i="30"/>
  <c r="OO25" i="30"/>
  <c r="OO26" i="30"/>
  <c r="OI7" i="30"/>
  <c r="OI8" i="30"/>
  <c r="OI9" i="30"/>
  <c r="OI10" i="30"/>
  <c r="OI11" i="30"/>
  <c r="OI12" i="30"/>
  <c r="OI13" i="30"/>
  <c r="OI14" i="30"/>
  <c r="OI15" i="30"/>
  <c r="OI16" i="30"/>
  <c r="OI17" i="30"/>
  <c r="OI18" i="30"/>
  <c r="OI19" i="30"/>
  <c r="OI20" i="30"/>
  <c r="OI21" i="30"/>
  <c r="OI22" i="30"/>
  <c r="OI23" i="30"/>
  <c r="OI24" i="30"/>
  <c r="OI25" i="30"/>
  <c r="OI26" i="30"/>
  <c r="OI27" i="30"/>
  <c r="OI28" i="30"/>
  <c r="OI29" i="30"/>
  <c r="OI30" i="30"/>
  <c r="OI31" i="30"/>
  <c r="OI32" i="30"/>
  <c r="OI33" i="30"/>
  <c r="OI34" i="30"/>
  <c r="OI35" i="30"/>
  <c r="OI36" i="30"/>
  <c r="OI37" i="30"/>
  <c r="OI38" i="30"/>
  <c r="OI39" i="30"/>
  <c r="OI40" i="30"/>
  <c r="OI41" i="30"/>
  <c r="OI42" i="30"/>
  <c r="OI43" i="30"/>
  <c r="OI44" i="30"/>
  <c r="OI45" i="30"/>
  <c r="OI46" i="30"/>
  <c r="OI47" i="30"/>
  <c r="OI48" i="30"/>
  <c r="OI49" i="30"/>
  <c r="OI50" i="30"/>
  <c r="OI51" i="30"/>
  <c r="OI52" i="30"/>
  <c r="OI53" i="30"/>
  <c r="OI54" i="30"/>
  <c r="OI55" i="30"/>
  <c r="OI56" i="30"/>
  <c r="OI57" i="30"/>
  <c r="OI58" i="30"/>
  <c r="OI59" i="30"/>
  <c r="OI60" i="30"/>
  <c r="OI61" i="30"/>
  <c r="OI62" i="30"/>
  <c r="OI63" i="30"/>
  <c r="OI64" i="30"/>
  <c r="OI65" i="30"/>
  <c r="OI66" i="30"/>
  <c r="OI67" i="30"/>
  <c r="OJ66" i="30"/>
  <c r="OK66" i="30"/>
  <c r="OL66" i="30"/>
  <c r="OM66" i="30"/>
  <c r="ON66" i="30"/>
  <c r="OJ49" i="30"/>
  <c r="OK49" i="30"/>
  <c r="OL49" i="30"/>
  <c r="OM49" i="30"/>
  <c r="ON49" i="30"/>
  <c r="OJ48" i="30"/>
  <c r="OK48" i="30"/>
  <c r="OL48" i="30"/>
  <c r="OM48" i="30"/>
  <c r="ON48" i="30"/>
  <c r="OJ39" i="30"/>
  <c r="OK39" i="30"/>
  <c r="OL39" i="30"/>
  <c r="OM39" i="30"/>
  <c r="ON39" i="30"/>
  <c r="OJ32" i="30"/>
  <c r="OL32" i="30"/>
  <c r="OM32" i="30"/>
  <c r="ON32" i="30"/>
  <c r="OJ19" i="30"/>
  <c r="OK19" i="30"/>
  <c r="OL19" i="30"/>
  <c r="OM19" i="30"/>
  <c r="ON19" i="30"/>
  <c r="OJ15" i="30"/>
  <c r="OK15" i="30"/>
  <c r="OL15" i="30"/>
  <c r="OM15" i="30"/>
  <c r="ON15" i="30"/>
  <c r="OJ14" i="30"/>
  <c r="OK14" i="30"/>
  <c r="OL14" i="30"/>
  <c r="OM14" i="30"/>
  <c r="ON14" i="30"/>
  <c r="OA7" i="30"/>
  <c r="OA25" i="30"/>
  <c r="OA26" i="30"/>
  <c r="NU6" i="30"/>
  <c r="NU7" i="30"/>
  <c r="NU8" i="30"/>
  <c r="NU9" i="30"/>
  <c r="NU10" i="30"/>
  <c r="NU11" i="30"/>
  <c r="NU12" i="30"/>
  <c r="NU13" i="30"/>
  <c r="NU14" i="30"/>
  <c r="NU15" i="30"/>
  <c r="NU16" i="30"/>
  <c r="NU17" i="30"/>
  <c r="NU18" i="30"/>
  <c r="NU19" i="30"/>
  <c r="NU20" i="30"/>
  <c r="NU21" i="30"/>
  <c r="NU22" i="30"/>
  <c r="NU23" i="30"/>
  <c r="NU24" i="30"/>
  <c r="NU25" i="30"/>
  <c r="NU26" i="30"/>
  <c r="NU27" i="30"/>
  <c r="NU28" i="30"/>
  <c r="NU29" i="30"/>
  <c r="NU30" i="30"/>
  <c r="NU31" i="30"/>
  <c r="NU32" i="30"/>
  <c r="NU33" i="30"/>
  <c r="NU34" i="30"/>
  <c r="NU35" i="30"/>
  <c r="NU36" i="30"/>
  <c r="NU37" i="30"/>
  <c r="NU38" i="30"/>
  <c r="NU39" i="30"/>
  <c r="NU40" i="30"/>
  <c r="NU41" i="30"/>
  <c r="NU42" i="30"/>
  <c r="NU43" i="30"/>
  <c r="NU44" i="30"/>
  <c r="NU45" i="30"/>
  <c r="NU46" i="30"/>
  <c r="NU47" i="30"/>
  <c r="NU48" i="30"/>
  <c r="NU49" i="30"/>
  <c r="NU50" i="30"/>
  <c r="NU51" i="30"/>
  <c r="NU52" i="30"/>
  <c r="NU53" i="30"/>
  <c r="NU54" i="30"/>
  <c r="NU55" i="30"/>
  <c r="NU56" i="30"/>
  <c r="NU57" i="30"/>
  <c r="NU58" i="30"/>
  <c r="NU59" i="30"/>
  <c r="NU60" i="30"/>
  <c r="NU61" i="30"/>
  <c r="NU62" i="30"/>
  <c r="NU63" i="30"/>
  <c r="NU64" i="30"/>
  <c r="NU65" i="30"/>
  <c r="NU66" i="30"/>
  <c r="NU67" i="30"/>
  <c r="NV66" i="30"/>
  <c r="NW66" i="30"/>
  <c r="NX66" i="30"/>
  <c r="NY66" i="30"/>
  <c r="NZ66" i="30"/>
  <c r="NV49" i="30"/>
  <c r="NW49" i="30"/>
  <c r="NX49" i="30"/>
  <c r="NY49" i="30"/>
  <c r="NZ49" i="30"/>
  <c r="NV48" i="30"/>
  <c r="NW48" i="30"/>
  <c r="NX48" i="30"/>
  <c r="NY48" i="30"/>
  <c r="NZ48" i="30"/>
  <c r="NV39" i="30"/>
  <c r="NW39" i="30"/>
  <c r="NX39" i="30"/>
  <c r="NY39" i="30"/>
  <c r="NZ39" i="30"/>
  <c r="NV32" i="30"/>
  <c r="NX32" i="30"/>
  <c r="NY32" i="30"/>
  <c r="NZ32" i="30"/>
  <c r="NV19" i="30"/>
  <c r="NW19" i="30"/>
  <c r="NX19" i="30"/>
  <c r="NY19" i="30"/>
  <c r="NZ19" i="30"/>
  <c r="NV15" i="30"/>
  <c r="NW15" i="30"/>
  <c r="NX15" i="30"/>
  <c r="NY15" i="30"/>
  <c r="NZ15" i="30"/>
  <c r="NV14" i="30"/>
  <c r="NW14" i="30"/>
  <c r="NX14" i="30"/>
  <c r="NY14" i="30"/>
  <c r="NZ14" i="30"/>
  <c r="NM7" i="30"/>
  <c r="NM25" i="30"/>
  <c r="NM26" i="30"/>
  <c r="NE6" i="30"/>
  <c r="NE7" i="30"/>
  <c r="NE8" i="30"/>
  <c r="NE9" i="30"/>
  <c r="NE10" i="30"/>
  <c r="NE11" i="30"/>
  <c r="NE12" i="30"/>
  <c r="NE13" i="30"/>
  <c r="NE14" i="30"/>
  <c r="NE15" i="30"/>
  <c r="NE16" i="30"/>
  <c r="NE17" i="30"/>
  <c r="NE18" i="30"/>
  <c r="NE19" i="30"/>
  <c r="NE20" i="30"/>
  <c r="NE21" i="30"/>
  <c r="NE22" i="30"/>
  <c r="NE23" i="30"/>
  <c r="NE24" i="30"/>
  <c r="NE25" i="30"/>
  <c r="NE26" i="30"/>
  <c r="NE27" i="30"/>
  <c r="NE28" i="30"/>
  <c r="NE29" i="30"/>
  <c r="NE30" i="30"/>
  <c r="NE31" i="30"/>
  <c r="NE32" i="30"/>
  <c r="NE33" i="30"/>
  <c r="NE34" i="30"/>
  <c r="NE35" i="30"/>
  <c r="NE36" i="30"/>
  <c r="NE37" i="30"/>
  <c r="NE38" i="30"/>
  <c r="NE39" i="30"/>
  <c r="NE40" i="30"/>
  <c r="NE41" i="30"/>
  <c r="NE42" i="30"/>
  <c r="NE43" i="30"/>
  <c r="NE44" i="30"/>
  <c r="NE45" i="30"/>
  <c r="NE46" i="30"/>
  <c r="NE47" i="30"/>
  <c r="NE48" i="30"/>
  <c r="NE49" i="30"/>
  <c r="NE50" i="30"/>
  <c r="NE51" i="30"/>
  <c r="NE52" i="30"/>
  <c r="NE53" i="30"/>
  <c r="NE54" i="30"/>
  <c r="NE55" i="30"/>
  <c r="NE56" i="30"/>
  <c r="NE57" i="30"/>
  <c r="NE58" i="30"/>
  <c r="NE59" i="30"/>
  <c r="NE60" i="30"/>
  <c r="NE61" i="30"/>
  <c r="NE62" i="30"/>
  <c r="NE63" i="30"/>
  <c r="NE64" i="30"/>
  <c r="NE65" i="30"/>
  <c r="NE66" i="30"/>
  <c r="NE67" i="30"/>
  <c r="NF66" i="30"/>
  <c r="NG66" i="30"/>
  <c r="NH66" i="30"/>
  <c r="NI66" i="30"/>
  <c r="NJ66" i="30"/>
  <c r="NK66" i="30"/>
  <c r="NL66" i="30"/>
  <c r="NF49" i="30"/>
  <c r="NG49" i="30"/>
  <c r="NI49" i="30"/>
  <c r="NJ49" i="30"/>
  <c r="NK49" i="30"/>
  <c r="NL49" i="30"/>
  <c r="NF48" i="30"/>
  <c r="NG48" i="30"/>
  <c r="NI48" i="30"/>
  <c r="NJ48" i="30"/>
  <c r="NK48" i="30"/>
  <c r="NL48" i="30"/>
  <c r="NF39" i="30"/>
  <c r="NH39" i="30"/>
  <c r="NI39" i="30"/>
  <c r="NJ39" i="30"/>
  <c r="NK39" i="30"/>
  <c r="NL39" i="30"/>
  <c r="NF32" i="30"/>
  <c r="NG32" i="30"/>
  <c r="NI32" i="30"/>
  <c r="NJ32" i="30"/>
  <c r="NK32" i="30"/>
  <c r="NL32" i="30"/>
  <c r="NF19" i="30"/>
  <c r="NH19" i="30"/>
  <c r="NI19" i="30"/>
  <c r="NJ19" i="30"/>
  <c r="NK19" i="30"/>
  <c r="NL19" i="30"/>
  <c r="NF15" i="30"/>
  <c r="NG15" i="30"/>
  <c r="NJ15" i="30"/>
  <c r="NK15" i="30"/>
  <c r="NL15" i="30"/>
  <c r="NF14" i="30"/>
  <c r="NG14" i="30"/>
  <c r="NH14" i="30"/>
  <c r="NI14" i="30"/>
  <c r="NJ14" i="30"/>
  <c r="NK14" i="30"/>
  <c r="NL14" i="30"/>
  <c r="NM14" i="30" l="1"/>
  <c r="NM32" i="30"/>
  <c r="OA32" i="30"/>
  <c r="NM48" i="30"/>
  <c r="OA14" i="30"/>
  <c r="OA48" i="30"/>
  <c r="OO48" i="30"/>
  <c r="PC15" i="30"/>
  <c r="NM15" i="30"/>
  <c r="OA15" i="30"/>
  <c r="OA19" i="30"/>
  <c r="OA39" i="30"/>
  <c r="OO15" i="30"/>
  <c r="OO66" i="30"/>
  <c r="PC66" i="30"/>
  <c r="NM66" i="30"/>
  <c r="OA66" i="30"/>
  <c r="OO32" i="30"/>
  <c r="PC39" i="30"/>
  <c r="NM19" i="30"/>
  <c r="NM39" i="30"/>
  <c r="NM49" i="30"/>
  <c r="OO39" i="30"/>
  <c r="PC32" i="30"/>
  <c r="OO19" i="30"/>
  <c r="PC49" i="30"/>
  <c r="PC48" i="30"/>
  <c r="PC19" i="30"/>
  <c r="PC14" i="30"/>
  <c r="OO14" i="30"/>
  <c r="OO49" i="30"/>
  <c r="OA49" i="30"/>
  <c r="OX6" i="30" l="1"/>
  <c r="OY6" i="30"/>
  <c r="OZ6" i="30"/>
  <c r="PA6" i="30"/>
  <c r="PB6" i="30"/>
  <c r="OX8" i="30"/>
  <c r="OY8" i="30"/>
  <c r="OZ8" i="30"/>
  <c r="PA8" i="30"/>
  <c r="PB8" i="30"/>
  <c r="OX9" i="30"/>
  <c r="OY9" i="30"/>
  <c r="OZ9" i="30"/>
  <c r="PA9" i="30"/>
  <c r="PB9" i="30"/>
  <c r="OX10" i="30"/>
  <c r="OY10" i="30"/>
  <c r="OZ10" i="30"/>
  <c r="PA10" i="30"/>
  <c r="PB10" i="30"/>
  <c r="OX11" i="30"/>
  <c r="OZ11" i="30"/>
  <c r="PA11" i="30"/>
  <c r="PB11" i="30"/>
  <c r="OX12" i="30"/>
  <c r="OZ12" i="30"/>
  <c r="PA12" i="30"/>
  <c r="OX13" i="30"/>
  <c r="OY13" i="30"/>
  <c r="OZ13" i="30"/>
  <c r="PA13" i="30"/>
  <c r="PB13" i="30"/>
  <c r="OX16" i="30"/>
  <c r="OY16" i="30"/>
  <c r="OZ16" i="30"/>
  <c r="PA16" i="30"/>
  <c r="PB16" i="30"/>
  <c r="OX17" i="30"/>
  <c r="OY17" i="30"/>
  <c r="OZ17" i="30"/>
  <c r="PA17" i="30"/>
  <c r="PB17" i="30"/>
  <c r="OX18" i="30"/>
  <c r="OY18" i="30"/>
  <c r="OZ18" i="30"/>
  <c r="PA18" i="30"/>
  <c r="PB18" i="30"/>
  <c r="OX20" i="30"/>
  <c r="OY20" i="30"/>
  <c r="OZ20" i="30"/>
  <c r="PA20" i="30"/>
  <c r="PB20" i="30"/>
  <c r="OX21" i="30"/>
  <c r="OY21" i="30"/>
  <c r="OZ21" i="30"/>
  <c r="PA21" i="30"/>
  <c r="PB21" i="30"/>
  <c r="OX22" i="30"/>
  <c r="OY22" i="30"/>
  <c r="OZ22" i="30"/>
  <c r="PA22" i="30"/>
  <c r="PB22" i="30"/>
  <c r="OX23" i="30"/>
  <c r="OY23" i="30"/>
  <c r="OZ23" i="30"/>
  <c r="PA23" i="30"/>
  <c r="PB23" i="30"/>
  <c r="OX24" i="30"/>
  <c r="OY24" i="30"/>
  <c r="OZ24" i="30"/>
  <c r="PA24" i="30"/>
  <c r="PB24" i="30"/>
  <c r="OX27" i="30"/>
  <c r="OY27" i="30"/>
  <c r="OZ27" i="30"/>
  <c r="PA27" i="30"/>
  <c r="PB27" i="30"/>
  <c r="OX28" i="30"/>
  <c r="OY28" i="30"/>
  <c r="OZ28" i="30"/>
  <c r="PA28" i="30"/>
  <c r="PB28" i="30"/>
  <c r="OX29" i="30"/>
  <c r="OY29" i="30"/>
  <c r="OZ29" i="30"/>
  <c r="PA29" i="30"/>
  <c r="PB29" i="30"/>
  <c r="OX30" i="30"/>
  <c r="OY30" i="30"/>
  <c r="OZ30" i="30"/>
  <c r="PA30" i="30"/>
  <c r="PB30" i="30"/>
  <c r="OX31" i="30"/>
  <c r="OY31" i="30"/>
  <c r="OZ31" i="30"/>
  <c r="PA31" i="30"/>
  <c r="PB31" i="30"/>
  <c r="OX33" i="30"/>
  <c r="OY33" i="30"/>
  <c r="OZ33" i="30"/>
  <c r="PA33" i="30"/>
  <c r="PB33" i="30"/>
  <c r="OX34" i="30"/>
  <c r="OY34" i="30"/>
  <c r="OZ34" i="30"/>
  <c r="PA34" i="30"/>
  <c r="PB34" i="30"/>
  <c r="OX35" i="30"/>
  <c r="OY35" i="30"/>
  <c r="OZ35" i="30"/>
  <c r="PA35" i="30"/>
  <c r="PB35" i="30"/>
  <c r="OX36" i="30"/>
  <c r="OZ36" i="30"/>
  <c r="PA36" i="30"/>
  <c r="PB36" i="30"/>
  <c r="OX37" i="30"/>
  <c r="OY37" i="30"/>
  <c r="OZ37" i="30"/>
  <c r="PA37" i="30"/>
  <c r="PB37" i="30"/>
  <c r="OX38" i="30"/>
  <c r="OY38" i="30"/>
  <c r="OZ38" i="30"/>
  <c r="PA38" i="30"/>
  <c r="PB38" i="30"/>
  <c r="OX40" i="30"/>
  <c r="OY40" i="30"/>
  <c r="OZ40" i="30"/>
  <c r="PA40" i="30"/>
  <c r="PB40" i="30"/>
  <c r="OX41" i="30"/>
  <c r="OY41" i="30"/>
  <c r="OZ41" i="30"/>
  <c r="PA41" i="30"/>
  <c r="PB41" i="30"/>
  <c r="OX42" i="30"/>
  <c r="OY42" i="30"/>
  <c r="OZ42" i="30"/>
  <c r="PA42" i="30"/>
  <c r="PB42" i="30"/>
  <c r="OX44" i="30"/>
  <c r="OY44" i="30"/>
  <c r="OZ44" i="30"/>
  <c r="PA44" i="30"/>
  <c r="PB44" i="30"/>
  <c r="OX45" i="30"/>
  <c r="OY45" i="30"/>
  <c r="OZ45" i="30"/>
  <c r="PA45" i="30"/>
  <c r="PB45" i="30"/>
  <c r="OX46" i="30"/>
  <c r="OY46" i="30"/>
  <c r="OZ46" i="30"/>
  <c r="PA46" i="30"/>
  <c r="PB46" i="30"/>
  <c r="OX47" i="30"/>
  <c r="OY47" i="30"/>
  <c r="OZ47" i="30"/>
  <c r="PA47" i="30"/>
  <c r="PB47" i="30"/>
  <c r="OX50" i="30"/>
  <c r="OY50" i="30"/>
  <c r="OZ50" i="30"/>
  <c r="PA50" i="30"/>
  <c r="PB50" i="30"/>
  <c r="OX53" i="30"/>
  <c r="OY53" i="30"/>
  <c r="OZ53" i="30"/>
  <c r="PA53" i="30"/>
  <c r="PB53" i="30"/>
  <c r="OX51" i="30"/>
  <c r="OY51" i="30"/>
  <c r="OZ51" i="30"/>
  <c r="PA51" i="30"/>
  <c r="PB51" i="30"/>
  <c r="OX52" i="30"/>
  <c r="OY52" i="30"/>
  <c r="OZ52" i="30"/>
  <c r="PA52" i="30"/>
  <c r="PB52" i="30"/>
  <c r="OX55" i="30"/>
  <c r="OY55" i="30"/>
  <c r="OZ55" i="30"/>
  <c r="PA55" i="30"/>
  <c r="PB55" i="30"/>
  <c r="OX56" i="30"/>
  <c r="OY56" i="30"/>
  <c r="OZ56" i="30"/>
  <c r="PA56" i="30"/>
  <c r="PB56" i="30"/>
  <c r="OX57" i="30"/>
  <c r="OY57" i="30"/>
  <c r="OZ57" i="30"/>
  <c r="PA57" i="30"/>
  <c r="PB57" i="30"/>
  <c r="OX58" i="30"/>
  <c r="OY58" i="30"/>
  <c r="OZ58" i="30"/>
  <c r="PA58" i="30"/>
  <c r="PB58" i="30"/>
  <c r="OX59" i="30"/>
  <c r="OY59" i="30"/>
  <c r="OZ59" i="30"/>
  <c r="PA59" i="30"/>
  <c r="PB59" i="30"/>
  <c r="OX60" i="30"/>
  <c r="OY60" i="30"/>
  <c r="OZ60" i="30"/>
  <c r="PA60" i="30"/>
  <c r="PB60" i="30"/>
  <c r="OX62" i="30"/>
  <c r="OY62" i="30"/>
  <c r="OZ62" i="30"/>
  <c r="PA62" i="30"/>
  <c r="PB62" i="30"/>
  <c r="OX63" i="30"/>
  <c r="OY63" i="30"/>
  <c r="OZ63" i="30"/>
  <c r="PA63" i="30"/>
  <c r="PB63" i="30"/>
  <c r="OX64" i="30"/>
  <c r="OY64" i="30"/>
  <c r="OZ64" i="30"/>
  <c r="PA64" i="30"/>
  <c r="PB64" i="30"/>
  <c r="OX65" i="30"/>
  <c r="OY65" i="30"/>
  <c r="OZ65" i="30"/>
  <c r="PA65" i="30"/>
  <c r="PB65" i="30"/>
  <c r="OX67" i="30"/>
  <c r="OZ67" i="30"/>
  <c r="PA67" i="30"/>
  <c r="PB67" i="30"/>
  <c r="OY5" i="30"/>
  <c r="OZ5" i="30"/>
  <c r="PA5" i="30"/>
  <c r="PB5" i="30"/>
  <c r="OX5" i="30"/>
  <c r="OQ70" i="30"/>
  <c r="OP70" i="30"/>
  <c r="OV68" i="30"/>
  <c r="OV71" i="30" s="1"/>
  <c r="OU68" i="30"/>
  <c r="OU71" i="30" s="1"/>
  <c r="OT68" i="30"/>
  <c r="OT71" i="30" s="1"/>
  <c r="OS68" i="30"/>
  <c r="OS71" i="30" s="1"/>
  <c r="OR68" i="30"/>
  <c r="OR71" i="30" s="1"/>
  <c r="OQ68" i="30"/>
  <c r="OP61" i="30"/>
  <c r="OP54" i="30"/>
  <c r="OW5" i="30"/>
  <c r="OJ6" i="30"/>
  <c r="OK6" i="30"/>
  <c r="OL6" i="30"/>
  <c r="OM6" i="30"/>
  <c r="ON6" i="30"/>
  <c r="OJ8" i="30"/>
  <c r="OK8" i="30"/>
  <c r="OL8" i="30"/>
  <c r="OM8" i="30"/>
  <c r="ON8" i="30"/>
  <c r="OJ9" i="30"/>
  <c r="OK9" i="30"/>
  <c r="OL9" i="30"/>
  <c r="OM9" i="30"/>
  <c r="ON9" i="30"/>
  <c r="OJ10" i="30"/>
  <c r="OK10" i="30"/>
  <c r="OL10" i="30"/>
  <c r="OM10" i="30"/>
  <c r="ON10" i="30"/>
  <c r="OJ11" i="30"/>
  <c r="OL11" i="30"/>
  <c r="OM11" i="30"/>
  <c r="ON11" i="30"/>
  <c r="OJ12" i="30"/>
  <c r="OL12" i="30"/>
  <c r="OM12" i="30"/>
  <c r="ON12" i="30"/>
  <c r="OJ13" i="30"/>
  <c r="OK13" i="30"/>
  <c r="OL13" i="30"/>
  <c r="OM13" i="30"/>
  <c r="ON13" i="30"/>
  <c r="OJ16" i="30"/>
  <c r="OK16" i="30"/>
  <c r="OL16" i="30"/>
  <c r="OM16" i="30"/>
  <c r="ON16" i="30"/>
  <c r="OJ17" i="30"/>
  <c r="OK17" i="30"/>
  <c r="OL17" i="30"/>
  <c r="OM17" i="30"/>
  <c r="ON17" i="30"/>
  <c r="OJ18" i="30"/>
  <c r="OK18" i="30"/>
  <c r="OL18" i="30"/>
  <c r="OM18" i="30"/>
  <c r="ON18" i="30"/>
  <c r="OJ20" i="30"/>
  <c r="OK20" i="30"/>
  <c r="OL20" i="30"/>
  <c r="OM20" i="30"/>
  <c r="ON20" i="30"/>
  <c r="OJ21" i="30"/>
  <c r="OK21" i="30"/>
  <c r="OL21" i="30"/>
  <c r="OM21" i="30"/>
  <c r="ON21" i="30"/>
  <c r="OJ22" i="30"/>
  <c r="OK22" i="30"/>
  <c r="OL22" i="30"/>
  <c r="OM22" i="30"/>
  <c r="ON22" i="30"/>
  <c r="OJ23" i="30"/>
  <c r="OK23" i="30"/>
  <c r="OL23" i="30"/>
  <c r="OM23" i="30"/>
  <c r="ON23" i="30"/>
  <c r="OJ24" i="30"/>
  <c r="OK24" i="30"/>
  <c r="OL24" i="30"/>
  <c r="OM24" i="30"/>
  <c r="ON24" i="30"/>
  <c r="OJ27" i="30"/>
  <c r="OK27" i="30"/>
  <c r="OL27" i="30"/>
  <c r="OM27" i="30"/>
  <c r="ON27" i="30"/>
  <c r="OJ28" i="30"/>
  <c r="OK28" i="30"/>
  <c r="OL28" i="30"/>
  <c r="OM28" i="30"/>
  <c r="ON28" i="30"/>
  <c r="OJ29" i="30"/>
  <c r="OK29" i="30"/>
  <c r="OL29" i="30"/>
  <c r="OM29" i="30"/>
  <c r="ON29" i="30"/>
  <c r="OJ30" i="30"/>
  <c r="OK30" i="30"/>
  <c r="OL30" i="30"/>
  <c r="OM30" i="30"/>
  <c r="ON30" i="30"/>
  <c r="OJ31" i="30"/>
  <c r="OK31" i="30"/>
  <c r="OL31" i="30"/>
  <c r="OM31" i="30"/>
  <c r="ON31" i="30"/>
  <c r="OJ33" i="30"/>
  <c r="OK33" i="30"/>
  <c r="OL33" i="30"/>
  <c r="OM33" i="30"/>
  <c r="ON33" i="30"/>
  <c r="OJ34" i="30"/>
  <c r="OK34" i="30"/>
  <c r="OL34" i="30"/>
  <c r="OM34" i="30"/>
  <c r="ON34" i="30"/>
  <c r="OJ35" i="30"/>
  <c r="OK35" i="30"/>
  <c r="OL35" i="30"/>
  <c r="OM35" i="30"/>
  <c r="ON35" i="30"/>
  <c r="OJ36" i="30"/>
  <c r="OL36" i="30"/>
  <c r="OM36" i="30"/>
  <c r="ON36" i="30"/>
  <c r="OJ37" i="30"/>
  <c r="OK37" i="30"/>
  <c r="OL37" i="30"/>
  <c r="OM37" i="30"/>
  <c r="ON37" i="30"/>
  <c r="OJ38" i="30"/>
  <c r="OK38" i="30"/>
  <c r="OL38" i="30"/>
  <c r="OM38" i="30"/>
  <c r="ON38" i="30"/>
  <c r="OJ40" i="30"/>
  <c r="OK40" i="30"/>
  <c r="OL40" i="30"/>
  <c r="OM40" i="30"/>
  <c r="ON40" i="30"/>
  <c r="OJ41" i="30"/>
  <c r="OK41" i="30"/>
  <c r="OL41" i="30"/>
  <c r="OM41" i="30"/>
  <c r="ON41" i="30"/>
  <c r="OJ42" i="30"/>
  <c r="OK42" i="30"/>
  <c r="OL42" i="30"/>
  <c r="OM42" i="30"/>
  <c r="ON42" i="30"/>
  <c r="OJ44" i="30"/>
  <c r="OK44" i="30"/>
  <c r="OL44" i="30"/>
  <c r="OM44" i="30"/>
  <c r="ON44" i="30"/>
  <c r="OJ45" i="30"/>
  <c r="OK45" i="30"/>
  <c r="OL45" i="30"/>
  <c r="OM45" i="30"/>
  <c r="ON45" i="30"/>
  <c r="OJ46" i="30"/>
  <c r="OL46" i="30"/>
  <c r="OM46" i="30"/>
  <c r="ON46" i="30"/>
  <c r="OJ47" i="30"/>
  <c r="OK47" i="30"/>
  <c r="OL47" i="30"/>
  <c r="OM47" i="30"/>
  <c r="ON47" i="30"/>
  <c r="OJ50" i="30"/>
  <c r="OK50" i="30"/>
  <c r="OL50" i="30"/>
  <c r="OM50" i="30"/>
  <c r="ON50" i="30"/>
  <c r="OJ53" i="30"/>
  <c r="OK53" i="30"/>
  <c r="OL53" i="30"/>
  <c r="OM53" i="30"/>
  <c r="ON53" i="30"/>
  <c r="OJ51" i="30"/>
  <c r="OK51" i="30"/>
  <c r="OL51" i="30"/>
  <c r="OM51" i="30"/>
  <c r="ON51" i="30"/>
  <c r="OJ52" i="30"/>
  <c r="OK52" i="30"/>
  <c r="OL52" i="30"/>
  <c r="OM52" i="30"/>
  <c r="ON52" i="30"/>
  <c r="OJ55" i="30"/>
  <c r="OK55" i="30"/>
  <c r="OL55" i="30"/>
  <c r="OM55" i="30"/>
  <c r="ON55" i="30"/>
  <c r="OJ56" i="30"/>
  <c r="OK56" i="30"/>
  <c r="OL56" i="30"/>
  <c r="OM56" i="30"/>
  <c r="ON56" i="30"/>
  <c r="OJ57" i="30"/>
  <c r="OK57" i="30"/>
  <c r="OL57" i="30"/>
  <c r="OM57" i="30"/>
  <c r="ON57" i="30"/>
  <c r="OJ58" i="30"/>
  <c r="OK58" i="30"/>
  <c r="OL58" i="30"/>
  <c r="OM58" i="30"/>
  <c r="ON58" i="30"/>
  <c r="OJ59" i="30"/>
  <c r="OK59" i="30"/>
  <c r="OL59" i="30"/>
  <c r="OM59" i="30"/>
  <c r="ON59" i="30"/>
  <c r="OJ60" i="30"/>
  <c r="OK60" i="30"/>
  <c r="OL60" i="30"/>
  <c r="OM60" i="30"/>
  <c r="ON60" i="30"/>
  <c r="OJ62" i="30"/>
  <c r="OK62" i="30"/>
  <c r="OL62" i="30"/>
  <c r="OM62" i="30"/>
  <c r="ON62" i="30"/>
  <c r="OJ63" i="30"/>
  <c r="OK63" i="30"/>
  <c r="OL63" i="30"/>
  <c r="OM63" i="30"/>
  <c r="ON63" i="30"/>
  <c r="OJ64" i="30"/>
  <c r="OK64" i="30"/>
  <c r="OL64" i="30"/>
  <c r="OM64" i="30"/>
  <c r="ON64" i="30"/>
  <c r="OJ65" i="30"/>
  <c r="OK65" i="30"/>
  <c r="OL65" i="30"/>
  <c r="OM65" i="30"/>
  <c r="ON65" i="30"/>
  <c r="OJ67" i="30"/>
  <c r="OL67" i="30"/>
  <c r="OM67" i="30"/>
  <c r="ON67" i="30"/>
  <c r="OK5" i="30"/>
  <c r="OL5" i="30"/>
  <c r="OM5" i="30"/>
  <c r="ON5" i="30"/>
  <c r="OJ5" i="30"/>
  <c r="OC70" i="30"/>
  <c r="OB70" i="30"/>
  <c r="OH68" i="30"/>
  <c r="OH71" i="30" s="1"/>
  <c r="OG68" i="30"/>
  <c r="OG71" i="30" s="1"/>
  <c r="OF68" i="30"/>
  <c r="OF71" i="30" s="1"/>
  <c r="OE68" i="30"/>
  <c r="OE71" i="30" s="1"/>
  <c r="OD68" i="30"/>
  <c r="OD71" i="30" s="1"/>
  <c r="OC68" i="30"/>
  <c r="OB61" i="30"/>
  <c r="OB54" i="30"/>
  <c r="OI6" i="30"/>
  <c r="OI5" i="30"/>
  <c r="NV8" i="30"/>
  <c r="NW8" i="30"/>
  <c r="NX8" i="30"/>
  <c r="NY8" i="30"/>
  <c r="NZ8" i="30"/>
  <c r="NV9" i="30"/>
  <c r="NW9" i="30"/>
  <c r="NX9" i="30"/>
  <c r="NY9" i="30"/>
  <c r="NZ9" i="30"/>
  <c r="NV10" i="30"/>
  <c r="NW10" i="30"/>
  <c r="NX10" i="30"/>
  <c r="NY10" i="30"/>
  <c r="NZ10" i="30"/>
  <c r="NV11" i="30"/>
  <c r="NX11" i="30"/>
  <c r="NY11" i="30"/>
  <c r="NZ11" i="30"/>
  <c r="NV12" i="30"/>
  <c r="NX12" i="30"/>
  <c r="NY12" i="30"/>
  <c r="NZ12" i="30"/>
  <c r="NV13" i="30"/>
  <c r="NW13" i="30"/>
  <c r="NX13" i="30"/>
  <c r="NY13" i="30"/>
  <c r="NZ13" i="30"/>
  <c r="NV16" i="30"/>
  <c r="NW16" i="30"/>
  <c r="NX16" i="30"/>
  <c r="NY16" i="30"/>
  <c r="NZ16" i="30"/>
  <c r="NV17" i="30"/>
  <c r="NW17" i="30"/>
  <c r="NX17" i="30"/>
  <c r="NY17" i="30"/>
  <c r="NZ17" i="30"/>
  <c r="NV18" i="30"/>
  <c r="NW18" i="30"/>
  <c r="NX18" i="30"/>
  <c r="NY18" i="30"/>
  <c r="NZ18" i="30"/>
  <c r="NV20" i="30"/>
  <c r="NW20" i="30"/>
  <c r="NX20" i="30"/>
  <c r="NY20" i="30"/>
  <c r="NZ20" i="30"/>
  <c r="NV21" i="30"/>
  <c r="NW21" i="30"/>
  <c r="NX21" i="30"/>
  <c r="NY21" i="30"/>
  <c r="NZ21" i="30"/>
  <c r="NV22" i="30"/>
  <c r="NW22" i="30"/>
  <c r="NX22" i="30"/>
  <c r="NY22" i="30"/>
  <c r="NZ22" i="30"/>
  <c r="NV23" i="30"/>
  <c r="NW23" i="30"/>
  <c r="NX23" i="30"/>
  <c r="NY23" i="30"/>
  <c r="NZ23" i="30"/>
  <c r="NV24" i="30"/>
  <c r="NW24" i="30"/>
  <c r="NX24" i="30"/>
  <c r="NY24" i="30"/>
  <c r="NZ24" i="30"/>
  <c r="NV27" i="30"/>
  <c r="NW27" i="30"/>
  <c r="NX27" i="30"/>
  <c r="NY27" i="30"/>
  <c r="NZ27" i="30"/>
  <c r="NV28" i="30"/>
  <c r="NW28" i="30"/>
  <c r="NX28" i="30"/>
  <c r="NY28" i="30"/>
  <c r="NZ28" i="30"/>
  <c r="NV29" i="30"/>
  <c r="NW29" i="30"/>
  <c r="NX29" i="30"/>
  <c r="NY29" i="30"/>
  <c r="NZ29" i="30"/>
  <c r="NV30" i="30"/>
  <c r="NW30" i="30"/>
  <c r="NX30" i="30"/>
  <c r="NY30" i="30"/>
  <c r="NZ30" i="30"/>
  <c r="NV31" i="30"/>
  <c r="NW31" i="30"/>
  <c r="NX31" i="30"/>
  <c r="NY31" i="30"/>
  <c r="NZ31" i="30"/>
  <c r="NV33" i="30"/>
  <c r="NW33" i="30"/>
  <c r="NX33" i="30"/>
  <c r="NY33" i="30"/>
  <c r="NZ33" i="30"/>
  <c r="NV34" i="30"/>
  <c r="NW34" i="30"/>
  <c r="NX34" i="30"/>
  <c r="NY34" i="30"/>
  <c r="NZ34" i="30"/>
  <c r="NV35" i="30"/>
  <c r="NW35" i="30"/>
  <c r="NX35" i="30"/>
  <c r="NY35" i="30"/>
  <c r="NZ35" i="30"/>
  <c r="NV36" i="30"/>
  <c r="NX36" i="30"/>
  <c r="NY36" i="30"/>
  <c r="NZ36" i="30"/>
  <c r="NV37" i="30"/>
  <c r="NW37" i="30"/>
  <c r="NX37" i="30"/>
  <c r="NY37" i="30"/>
  <c r="NZ37" i="30"/>
  <c r="NV38" i="30"/>
  <c r="NW38" i="30"/>
  <c r="NX38" i="30"/>
  <c r="NY38" i="30"/>
  <c r="NZ38" i="30"/>
  <c r="NV40" i="30"/>
  <c r="NW40" i="30"/>
  <c r="NX40" i="30"/>
  <c r="NY40" i="30"/>
  <c r="NZ40" i="30"/>
  <c r="NV41" i="30"/>
  <c r="NW41" i="30"/>
  <c r="NX41" i="30"/>
  <c r="NY41" i="30"/>
  <c r="NZ41" i="30"/>
  <c r="NV42" i="30"/>
  <c r="NW42" i="30"/>
  <c r="NX42" i="30"/>
  <c r="NY42" i="30"/>
  <c r="NZ42" i="30"/>
  <c r="NV44" i="30"/>
  <c r="NW44" i="30"/>
  <c r="NX44" i="30"/>
  <c r="NY44" i="30"/>
  <c r="NZ44" i="30"/>
  <c r="NV45" i="30"/>
  <c r="NW45" i="30"/>
  <c r="NX45" i="30"/>
  <c r="NY45" i="30"/>
  <c r="NZ45" i="30"/>
  <c r="NV46" i="30"/>
  <c r="NW46" i="30"/>
  <c r="NX46" i="30"/>
  <c r="NY46" i="30"/>
  <c r="NZ46" i="30"/>
  <c r="NV47" i="30"/>
  <c r="NW47" i="30"/>
  <c r="NX47" i="30"/>
  <c r="NY47" i="30"/>
  <c r="NZ47" i="30"/>
  <c r="NV50" i="30"/>
  <c r="NW50" i="30"/>
  <c r="NX50" i="30"/>
  <c r="NY50" i="30"/>
  <c r="NZ50" i="30"/>
  <c r="NV53" i="30"/>
  <c r="NW53" i="30"/>
  <c r="NX53" i="30"/>
  <c r="NY53" i="30"/>
  <c r="NZ53" i="30"/>
  <c r="NV51" i="30"/>
  <c r="NW51" i="30"/>
  <c r="NX51" i="30"/>
  <c r="NY51" i="30"/>
  <c r="NZ51" i="30"/>
  <c r="NV52" i="30"/>
  <c r="NW52" i="30"/>
  <c r="NX52" i="30"/>
  <c r="NY52" i="30"/>
  <c r="NZ52" i="30"/>
  <c r="NV55" i="30"/>
  <c r="NW55" i="30"/>
  <c r="NX55" i="30"/>
  <c r="NY55" i="30"/>
  <c r="NZ55" i="30"/>
  <c r="NV56" i="30"/>
  <c r="NW56" i="30"/>
  <c r="NX56" i="30"/>
  <c r="NY56" i="30"/>
  <c r="NZ56" i="30"/>
  <c r="NV57" i="30"/>
  <c r="NW57" i="30"/>
  <c r="NX57" i="30"/>
  <c r="NY57" i="30"/>
  <c r="NZ57" i="30"/>
  <c r="NV58" i="30"/>
  <c r="NW58" i="30"/>
  <c r="NX58" i="30"/>
  <c r="NY58" i="30"/>
  <c r="NZ58" i="30"/>
  <c r="NV59" i="30"/>
  <c r="NW59" i="30"/>
  <c r="NX59" i="30"/>
  <c r="NY59" i="30"/>
  <c r="NZ59" i="30"/>
  <c r="NV60" i="30"/>
  <c r="NW60" i="30"/>
  <c r="NX60" i="30"/>
  <c r="NY60" i="30"/>
  <c r="NZ60" i="30"/>
  <c r="NV62" i="30"/>
  <c r="NW62" i="30"/>
  <c r="NX62" i="30"/>
  <c r="NY62" i="30"/>
  <c r="NZ62" i="30"/>
  <c r="NV63" i="30"/>
  <c r="NW63" i="30"/>
  <c r="NX63" i="30"/>
  <c r="NY63" i="30"/>
  <c r="NZ63" i="30"/>
  <c r="NV64" i="30"/>
  <c r="NW64" i="30"/>
  <c r="NX64" i="30"/>
  <c r="NY64" i="30"/>
  <c r="NZ64" i="30"/>
  <c r="NV65" i="30"/>
  <c r="NW65" i="30"/>
  <c r="NX65" i="30"/>
  <c r="NY65" i="30"/>
  <c r="NZ65" i="30"/>
  <c r="NV67" i="30"/>
  <c r="NX67" i="30"/>
  <c r="NY67" i="30"/>
  <c r="NZ67" i="30"/>
  <c r="NV6" i="30"/>
  <c r="NW6" i="30"/>
  <c r="NX6" i="30"/>
  <c r="NY6" i="30"/>
  <c r="NZ6" i="30"/>
  <c r="NW5" i="30"/>
  <c r="NX5" i="30"/>
  <c r="NY5" i="30"/>
  <c r="NZ5" i="30"/>
  <c r="NV5" i="30"/>
  <c r="NU5" i="30"/>
  <c r="NN70" i="30"/>
  <c r="NO70" i="30"/>
  <c r="NT68" i="30"/>
  <c r="NT71" i="30" s="1"/>
  <c r="NS68" i="30"/>
  <c r="NS71" i="30" s="1"/>
  <c r="NR68" i="30"/>
  <c r="NR71" i="30" s="1"/>
  <c r="NQ68" i="30"/>
  <c r="NQ71" i="30" s="1"/>
  <c r="NP68" i="30"/>
  <c r="NP71" i="30" s="1"/>
  <c r="NO68" i="30"/>
  <c r="NN54" i="30"/>
  <c r="NW43" i="30"/>
  <c r="NK5" i="30"/>
  <c r="NJ67" i="30"/>
  <c r="NJ65" i="30"/>
  <c r="NJ64" i="30"/>
  <c r="NJ63" i="30"/>
  <c r="NJ62" i="30"/>
  <c r="NJ60" i="30"/>
  <c r="NJ59" i="30"/>
  <c r="NJ58" i="30"/>
  <c r="NJ57" i="30"/>
  <c r="NJ56" i="30"/>
  <c r="NJ55" i="30"/>
  <c r="NJ52" i="30"/>
  <c r="NJ51" i="30"/>
  <c r="NJ53" i="30"/>
  <c r="NJ50" i="30"/>
  <c r="NJ47" i="30"/>
  <c r="NJ46" i="30"/>
  <c r="NJ45" i="30"/>
  <c r="NJ44" i="30"/>
  <c r="NJ42" i="30"/>
  <c r="NJ41" i="30"/>
  <c r="NJ40" i="30"/>
  <c r="NJ38" i="30"/>
  <c r="NJ37" i="30"/>
  <c r="NJ36" i="30"/>
  <c r="NJ35" i="30"/>
  <c r="NJ34" i="30"/>
  <c r="NJ33" i="30"/>
  <c r="NJ31" i="30"/>
  <c r="NJ30" i="30"/>
  <c r="NJ29" i="30"/>
  <c r="NJ28" i="30"/>
  <c r="NJ27" i="30"/>
  <c r="NJ24" i="30"/>
  <c r="NJ23" i="30"/>
  <c r="NJ22" i="30"/>
  <c r="NJ21" i="30"/>
  <c r="NJ20" i="30"/>
  <c r="NJ18" i="30"/>
  <c r="NJ17" i="30"/>
  <c r="NJ16" i="30"/>
  <c r="NJ13" i="30"/>
  <c r="NJ12" i="30"/>
  <c r="NJ11" i="30"/>
  <c r="NJ10" i="30"/>
  <c r="NJ9" i="30"/>
  <c r="NJ8" i="30"/>
  <c r="NJ6" i="30"/>
  <c r="NJ5" i="30"/>
  <c r="NB68" i="30"/>
  <c r="NB71" i="30" s="1"/>
  <c r="MS5" i="30"/>
  <c r="MR67" i="30"/>
  <c r="MR65" i="30"/>
  <c r="MR64" i="30"/>
  <c r="MR63" i="30"/>
  <c r="MR62" i="30"/>
  <c r="MR60" i="30"/>
  <c r="MR59" i="30"/>
  <c r="MR58" i="30"/>
  <c r="MR57" i="30"/>
  <c r="MR56" i="30"/>
  <c r="MR55" i="30"/>
  <c r="MR52" i="30"/>
  <c r="MR51" i="30"/>
  <c r="MR53" i="30"/>
  <c r="MR50" i="30"/>
  <c r="MR47" i="30"/>
  <c r="MR46" i="30"/>
  <c r="MR45" i="30"/>
  <c r="MR44" i="30"/>
  <c r="MR43" i="30"/>
  <c r="MR42" i="30"/>
  <c r="MR41" i="30"/>
  <c r="MR40" i="30"/>
  <c r="MR38" i="30"/>
  <c r="MR37" i="30"/>
  <c r="MR36" i="30"/>
  <c r="MR35" i="30"/>
  <c r="MR34" i="30"/>
  <c r="MR33" i="30"/>
  <c r="MR31" i="30"/>
  <c r="MR30" i="30"/>
  <c r="MR29" i="30"/>
  <c r="MR28" i="30"/>
  <c r="MR27" i="30"/>
  <c r="MR24" i="30"/>
  <c r="MR23" i="30"/>
  <c r="MR22" i="30"/>
  <c r="MR21" i="30"/>
  <c r="MR20" i="30"/>
  <c r="MR18" i="30"/>
  <c r="MR17" i="30"/>
  <c r="MR16" i="30"/>
  <c r="MR13" i="30"/>
  <c r="MR12" i="30"/>
  <c r="MR11" i="30"/>
  <c r="MR10" i="30"/>
  <c r="MR9" i="30"/>
  <c r="MR8" i="30"/>
  <c r="MR6" i="30"/>
  <c r="MR5" i="30"/>
  <c r="MJ68" i="30"/>
  <c r="MJ71" i="30" s="1"/>
  <c r="B29" i="42"/>
  <c r="F26" i="42" l="1"/>
  <c r="F29" i="42" s="1"/>
  <c r="F32" i="42" s="1"/>
  <c r="D26" i="42"/>
  <c r="PC36" i="30"/>
  <c r="OO46" i="30"/>
  <c r="OO12" i="30"/>
  <c r="OO11" i="30"/>
  <c r="OA67" i="30"/>
  <c r="OA12" i="30"/>
  <c r="OA11" i="30"/>
  <c r="OA6" i="30"/>
  <c r="OA62" i="30"/>
  <c r="OA57" i="30"/>
  <c r="OA51" i="30"/>
  <c r="OA46" i="30"/>
  <c r="OA41" i="30"/>
  <c r="OA35" i="30"/>
  <c r="OA30" i="30"/>
  <c r="OA24" i="30"/>
  <c r="OA20" i="30"/>
  <c r="OA13" i="30"/>
  <c r="OO63" i="30"/>
  <c r="OO58" i="30"/>
  <c r="OO52" i="30"/>
  <c r="OO47" i="30"/>
  <c r="OO41" i="30"/>
  <c r="OO35" i="30"/>
  <c r="OO30" i="30"/>
  <c r="OO24" i="30"/>
  <c r="OO20" i="30"/>
  <c r="OO13" i="30"/>
  <c r="OO6" i="30"/>
  <c r="OY61" i="30"/>
  <c r="PC63" i="30"/>
  <c r="PC58" i="30"/>
  <c r="PC52" i="30"/>
  <c r="PC47" i="30"/>
  <c r="PC42" i="30"/>
  <c r="PC37" i="30"/>
  <c r="PC31" i="30"/>
  <c r="PC27" i="30"/>
  <c r="PC21" i="30"/>
  <c r="PC16" i="30"/>
  <c r="PC8" i="30"/>
  <c r="NV54" i="30"/>
  <c r="OA65" i="30"/>
  <c r="OA60" i="30"/>
  <c r="OA56" i="30"/>
  <c r="OA53" i="30"/>
  <c r="OA45" i="30"/>
  <c r="OA40" i="30"/>
  <c r="OA34" i="30"/>
  <c r="OA29" i="30"/>
  <c r="OA23" i="30"/>
  <c r="OA18" i="30"/>
  <c r="OA10" i="30"/>
  <c r="OC71" i="30"/>
  <c r="OO67" i="30"/>
  <c r="OO62" i="30"/>
  <c r="OO57" i="30"/>
  <c r="OO51" i="30"/>
  <c r="OO45" i="30"/>
  <c r="OO40" i="30"/>
  <c r="OO34" i="30"/>
  <c r="OO29" i="30"/>
  <c r="OO23" i="30"/>
  <c r="OO18" i="30"/>
  <c r="OO10" i="30"/>
  <c r="PC67" i="30"/>
  <c r="PC62" i="30"/>
  <c r="PC57" i="30"/>
  <c r="PC51" i="30"/>
  <c r="PC46" i="30"/>
  <c r="PC41" i="30"/>
  <c r="PC35" i="30"/>
  <c r="PC30" i="30"/>
  <c r="PC24" i="30"/>
  <c r="PC20" i="30"/>
  <c r="PC13" i="30"/>
  <c r="PC12" i="30"/>
  <c r="PC11" i="30"/>
  <c r="PC6" i="30"/>
  <c r="OA64" i="30"/>
  <c r="OA59" i="30"/>
  <c r="OA55" i="30"/>
  <c r="OA50" i="30"/>
  <c r="OA44" i="30"/>
  <c r="OA38" i="30"/>
  <c r="OA33" i="30"/>
  <c r="OA28" i="30"/>
  <c r="OA22" i="30"/>
  <c r="OA17" i="30"/>
  <c r="OA9" i="30"/>
  <c r="OB68" i="30"/>
  <c r="OB71" i="30" s="1"/>
  <c r="OO65" i="30"/>
  <c r="OO60" i="30"/>
  <c r="OO56" i="30"/>
  <c r="OO53" i="30"/>
  <c r="OO44" i="30"/>
  <c r="OO38" i="30"/>
  <c r="OO33" i="30"/>
  <c r="OO28" i="30"/>
  <c r="OO22" i="30"/>
  <c r="OO17" i="30"/>
  <c r="OO9" i="30"/>
  <c r="OP68" i="30"/>
  <c r="OP71" i="30" s="1"/>
  <c r="PC65" i="30"/>
  <c r="PC60" i="30"/>
  <c r="PC56" i="30"/>
  <c r="PC53" i="30"/>
  <c r="PC45" i="30"/>
  <c r="PC40" i="30"/>
  <c r="PC34" i="30"/>
  <c r="PC29" i="30"/>
  <c r="PC23" i="30"/>
  <c r="PC18" i="30"/>
  <c r="PC10" i="30"/>
  <c r="OA63" i="30"/>
  <c r="OA58" i="30"/>
  <c r="OA52" i="30"/>
  <c r="OA47" i="30"/>
  <c r="OA42" i="30"/>
  <c r="OA37" i="30"/>
  <c r="OA36" i="30"/>
  <c r="OA31" i="30"/>
  <c r="OA27" i="30"/>
  <c r="OA21" i="30"/>
  <c r="OA16" i="30"/>
  <c r="OA8" i="30"/>
  <c r="OK54" i="30"/>
  <c r="OO64" i="30"/>
  <c r="OO59" i="30"/>
  <c r="OO55" i="30"/>
  <c r="OO50" i="30"/>
  <c r="OO42" i="30"/>
  <c r="OO37" i="30"/>
  <c r="OO36" i="30"/>
  <c r="OO31" i="30"/>
  <c r="OO27" i="30"/>
  <c r="OO21" i="30"/>
  <c r="OO16" i="30"/>
  <c r="OO8" i="30"/>
  <c r="OX54" i="30"/>
  <c r="PC64" i="30"/>
  <c r="PC59" i="30"/>
  <c r="PC55" i="30"/>
  <c r="PC50" i="30"/>
  <c r="PC44" i="30"/>
  <c r="PC38" i="30"/>
  <c r="PC33" i="30"/>
  <c r="PC28" i="30"/>
  <c r="PC22" i="30"/>
  <c r="PC17" i="30"/>
  <c r="PC9" i="30"/>
  <c r="NZ61" i="30"/>
  <c r="NX61" i="30"/>
  <c r="NV61" i="30"/>
  <c r="NY54" i="30"/>
  <c r="NW54" i="30"/>
  <c r="NZ43" i="30"/>
  <c r="NX43" i="30"/>
  <c r="NV43" i="30"/>
  <c r="OM61" i="30"/>
  <c r="OK61" i="30"/>
  <c r="ON54" i="30"/>
  <c r="OL54" i="30"/>
  <c r="OJ54" i="30"/>
  <c r="OM43" i="30"/>
  <c r="OK43" i="30"/>
  <c r="PB61" i="30"/>
  <c r="OZ61" i="30"/>
  <c r="OX61" i="30"/>
  <c r="PA54" i="30"/>
  <c r="OY54" i="30"/>
  <c r="PB43" i="30"/>
  <c r="OZ43" i="30"/>
  <c r="OX43" i="30"/>
  <c r="OA5" i="30"/>
  <c r="NY61" i="30"/>
  <c r="NZ54" i="30"/>
  <c r="NX54" i="30"/>
  <c r="NY43" i="30"/>
  <c r="ON61" i="30"/>
  <c r="OL61" i="30"/>
  <c r="OJ61" i="30"/>
  <c r="OM54" i="30"/>
  <c r="ON43" i="30"/>
  <c r="OL43" i="30"/>
  <c r="OJ43" i="30"/>
  <c r="PA61" i="30"/>
  <c r="PB54" i="30"/>
  <c r="OZ54" i="30"/>
  <c r="PA43" i="30"/>
  <c r="OY43" i="30"/>
  <c r="J18" i="42"/>
  <c r="J18" i="55" s="1"/>
  <c r="L18" i="55" s="1"/>
  <c r="OW68" i="30"/>
  <c r="OI68" i="30"/>
  <c r="NU68" i="30"/>
  <c r="OQ71" i="30"/>
  <c r="PC5" i="30"/>
  <c r="OO5" i="30"/>
  <c r="NN68" i="30"/>
  <c r="NN71" i="30" s="1"/>
  <c r="NO71" i="30"/>
  <c r="J23" i="42"/>
  <c r="J23" i="55" s="1"/>
  <c r="L23" i="55" s="1"/>
  <c r="J24" i="42"/>
  <c r="J24" i="55" s="1"/>
  <c r="L24" i="55" s="1"/>
  <c r="J16" i="42"/>
  <c r="J16" i="55" s="1"/>
  <c r="J17" i="42"/>
  <c r="J17" i="55" s="1"/>
  <c r="L17" i="55" s="1"/>
  <c r="J19" i="42"/>
  <c r="J19" i="55" s="1"/>
  <c r="L19" i="55" s="1"/>
  <c r="J20" i="42"/>
  <c r="J20" i="55" s="1"/>
  <c r="L20" i="55" s="1"/>
  <c r="J21" i="42"/>
  <c r="J21" i="55" s="1"/>
  <c r="L21" i="55" s="1"/>
  <c r="J22" i="42"/>
  <c r="J22" i="55" s="1"/>
  <c r="L22" i="55" s="1"/>
  <c r="J26" i="55" l="1"/>
  <c r="J29" i="55" s="1"/>
  <c r="L16" i="55"/>
  <c r="L26" i="55" s="1"/>
  <c r="L29" i="55" s="1"/>
  <c r="PA68" i="30"/>
  <c r="PA73" i="30" s="1"/>
  <c r="OY68" i="30"/>
  <c r="OY71" i="30" s="1"/>
  <c r="OL68" i="30"/>
  <c r="OL73" i="30" s="1"/>
  <c r="ON68" i="30"/>
  <c r="ON71" i="30" s="1"/>
  <c r="OZ68" i="30"/>
  <c r="OZ71" i="30" s="1"/>
  <c r="OM68" i="30"/>
  <c r="OM71" i="30" s="1"/>
  <c r="OX68" i="30"/>
  <c r="OX71" i="30" s="1"/>
  <c r="OA54" i="30"/>
  <c r="D29" i="42"/>
  <c r="D34" i="42" s="1"/>
  <c r="J26" i="42"/>
  <c r="OO61" i="30"/>
  <c r="PC54" i="30"/>
  <c r="PC61" i="30"/>
  <c r="OK68" i="30"/>
  <c r="OK71" i="30" s="1"/>
  <c r="OO54" i="30"/>
  <c r="OO43" i="30"/>
  <c r="PC43" i="30"/>
  <c r="OA61" i="30"/>
  <c r="M18" i="42"/>
  <c r="OJ68" i="30"/>
  <c r="OA43" i="30"/>
  <c r="PB68" i="30"/>
  <c r="M20" i="42"/>
  <c r="M17" i="42"/>
  <c r="M24" i="42"/>
  <c r="M21" i="42"/>
  <c r="M19" i="42"/>
  <c r="M16" i="42"/>
  <c r="M23" i="42"/>
  <c r="M22" i="42"/>
  <c r="M25" i="42"/>
  <c r="PA71" i="30" l="1"/>
  <c r="J29" i="42"/>
  <c r="J32" i="42" s="1"/>
  <c r="OY73" i="30"/>
  <c r="OM73" i="30"/>
  <c r="OZ73" i="30"/>
  <c r="ON73" i="30"/>
  <c r="OL71" i="30"/>
  <c r="OA68" i="30"/>
  <c r="OX73" i="30"/>
  <c r="D32" i="42"/>
  <c r="M26" i="42"/>
  <c r="M29" i="42" s="1"/>
  <c r="N30" i="42" s="1"/>
  <c r="N32" i="42" s="1"/>
  <c r="PC68" i="30"/>
  <c r="OK73" i="30"/>
  <c r="OO68" i="30"/>
  <c r="OJ71" i="30"/>
  <c r="OJ73" i="30"/>
  <c r="PB71" i="30"/>
  <c r="PB73" i="30"/>
  <c r="LX70" i="30" l="1"/>
  <c r="L34" i="21" l="1"/>
  <c r="L38" i="21" s="1"/>
  <c r="LH70" i="30" l="1"/>
  <c r="LZ70" i="30"/>
  <c r="LM54" i="30"/>
  <c r="NL53" i="30"/>
  <c r="NK53" i="30"/>
  <c r="NI53" i="30"/>
  <c r="NH53" i="30"/>
  <c r="NG53" i="30"/>
  <c r="NF53" i="30"/>
  <c r="MT53" i="30"/>
  <c r="MS53" i="30"/>
  <c r="MQ53" i="30"/>
  <c r="MP53" i="30"/>
  <c r="MO53" i="30"/>
  <c r="MN53" i="30"/>
  <c r="MB53" i="30"/>
  <c r="MA53" i="30"/>
  <c r="LZ53" i="30"/>
  <c r="LY53" i="30"/>
  <c r="LX53" i="30"/>
  <c r="LW53" i="30"/>
  <c r="LV53" i="30"/>
  <c r="LU53" i="30"/>
  <c r="LJ53" i="30"/>
  <c r="LI53" i="30"/>
  <c r="LH53" i="30"/>
  <c r="LG53" i="30"/>
  <c r="LF53" i="30"/>
  <c r="LE53" i="30"/>
  <c r="LD53" i="30"/>
  <c r="LC53" i="30"/>
  <c r="LB53" i="30"/>
  <c r="KP53" i="30"/>
  <c r="KO53" i="30"/>
  <c r="KN53" i="30"/>
  <c r="KM53" i="30"/>
  <c r="KL53" i="30"/>
  <c r="KK53" i="30"/>
  <c r="KJ53" i="30"/>
  <c r="KI53" i="30"/>
  <c r="KH53" i="30"/>
  <c r="KG53" i="30"/>
  <c r="JM53" i="30"/>
  <c r="JU53" i="30" s="1"/>
  <c r="GJ53" i="30"/>
  <c r="NL47" i="30"/>
  <c r="NK47" i="30"/>
  <c r="NI47" i="30"/>
  <c r="NH47" i="30"/>
  <c r="NG47" i="30"/>
  <c r="NF47" i="30"/>
  <c r="MT47" i="30"/>
  <c r="MS47" i="30"/>
  <c r="MQ47" i="30"/>
  <c r="MP47" i="30"/>
  <c r="MO47" i="30"/>
  <c r="MN47" i="30"/>
  <c r="MB47" i="30"/>
  <c r="MA47" i="30"/>
  <c r="LZ47" i="30"/>
  <c r="LY47" i="30"/>
  <c r="LX47" i="30"/>
  <c r="LW47" i="30"/>
  <c r="LV47" i="30"/>
  <c r="LU47" i="30"/>
  <c r="LJ47" i="30"/>
  <c r="LI47" i="30"/>
  <c r="LH47" i="30"/>
  <c r="LG47" i="30"/>
  <c r="LF47" i="30"/>
  <c r="LE47" i="30"/>
  <c r="LD47" i="30"/>
  <c r="LC47" i="30"/>
  <c r="LB47" i="30"/>
  <c r="KP47" i="30"/>
  <c r="KO47" i="30"/>
  <c r="KN47" i="30"/>
  <c r="KM47" i="30"/>
  <c r="KL47" i="30"/>
  <c r="KK47" i="30"/>
  <c r="KJ47" i="30"/>
  <c r="KI47" i="30"/>
  <c r="KH47" i="30"/>
  <c r="KG47" i="30"/>
  <c r="JM47" i="30"/>
  <c r="JU47" i="30" s="1"/>
  <c r="GJ47" i="30"/>
  <c r="LL54" i="30"/>
  <c r="NL21" i="30"/>
  <c r="NK21" i="30"/>
  <c r="NI21" i="30"/>
  <c r="NH21" i="30"/>
  <c r="NG21" i="30"/>
  <c r="NF21" i="30"/>
  <c r="MT21" i="30"/>
  <c r="MS21" i="30"/>
  <c r="MQ21" i="30"/>
  <c r="MP21" i="30"/>
  <c r="MO21" i="30"/>
  <c r="MN21" i="30"/>
  <c r="MB21" i="30"/>
  <c r="MA21" i="30"/>
  <c r="LZ21" i="30"/>
  <c r="LY21" i="30"/>
  <c r="LX21" i="30"/>
  <c r="LW21" i="30"/>
  <c r="LV21" i="30"/>
  <c r="LU21" i="30"/>
  <c r="LH21" i="30"/>
  <c r="LG21" i="30"/>
  <c r="LD21" i="30"/>
  <c r="LC21" i="30"/>
  <c r="LJ21" i="30"/>
  <c r="KP21" i="30"/>
  <c r="KO21" i="30"/>
  <c r="KN21" i="30"/>
  <c r="KM21" i="30"/>
  <c r="KL21" i="30"/>
  <c r="KK21" i="30"/>
  <c r="KJ21" i="30"/>
  <c r="KI21" i="30"/>
  <c r="KH21" i="30"/>
  <c r="KG21" i="30"/>
  <c r="JM21" i="30"/>
  <c r="JU21" i="30" s="1"/>
  <c r="GJ21" i="30"/>
  <c r="NI70" i="30"/>
  <c r="MQ70" i="30"/>
  <c r="KS35" i="30"/>
  <c r="NM21" i="30" l="1"/>
  <c r="NM53" i="30"/>
  <c r="NM47" i="30"/>
  <c r="MU53" i="30"/>
  <c r="MU21" i="30"/>
  <c r="MU47" i="30"/>
  <c r="LK53" i="30"/>
  <c r="KQ21" i="30"/>
  <c r="KQ53" i="30"/>
  <c r="KQ47" i="30"/>
  <c r="MC53" i="30"/>
  <c r="MC21" i="30"/>
  <c r="MC47" i="30"/>
  <c r="LK47" i="30"/>
  <c r="LE21" i="30"/>
  <c r="LI21" i="30"/>
  <c r="KS68" i="30"/>
  <c r="LB21" i="30"/>
  <c r="LF21" i="30"/>
  <c r="MN70" i="30"/>
  <c r="LK21" i="30" l="1"/>
  <c r="NF6" i="30" l="1"/>
  <c r="NG6" i="30"/>
  <c r="NH6" i="30"/>
  <c r="NI6" i="30"/>
  <c r="NK6" i="30"/>
  <c r="NL6" i="30"/>
  <c r="NF8" i="30"/>
  <c r="NG8" i="30"/>
  <c r="NH8" i="30"/>
  <c r="NI8" i="30"/>
  <c r="NK8" i="30"/>
  <c r="NL8" i="30"/>
  <c r="NF9" i="30"/>
  <c r="NG9" i="30"/>
  <c r="NH9" i="30"/>
  <c r="NI9" i="30"/>
  <c r="NK9" i="30"/>
  <c r="NL9" i="30"/>
  <c r="NF18" i="30"/>
  <c r="NG18" i="30"/>
  <c r="NH18" i="30"/>
  <c r="NI18" i="30"/>
  <c r="NK18" i="30"/>
  <c r="NL18" i="30"/>
  <c r="NF10" i="30"/>
  <c r="NG10" i="30"/>
  <c r="NH10" i="30"/>
  <c r="NI10" i="30"/>
  <c r="NK10" i="30"/>
  <c r="NL10" i="30"/>
  <c r="NF11" i="30"/>
  <c r="NG11" i="30"/>
  <c r="NH11" i="30"/>
  <c r="NI11" i="30"/>
  <c r="NK11" i="30"/>
  <c r="NL11" i="30"/>
  <c r="NF12" i="30"/>
  <c r="NG12" i="30"/>
  <c r="NH12" i="30"/>
  <c r="NI12" i="30"/>
  <c r="NK12" i="30"/>
  <c r="NL12" i="30"/>
  <c r="NF13" i="30"/>
  <c r="NG13" i="30"/>
  <c r="NH13" i="30"/>
  <c r="NI13" i="30"/>
  <c r="NK13" i="30"/>
  <c r="NL13" i="30"/>
  <c r="NF16" i="30"/>
  <c r="NG16" i="30"/>
  <c r="NH16" i="30"/>
  <c r="NI16" i="30"/>
  <c r="NK16" i="30"/>
  <c r="NL16" i="30"/>
  <c r="NF17" i="30"/>
  <c r="NG17" i="30"/>
  <c r="NH17" i="30"/>
  <c r="NI17" i="30"/>
  <c r="NK17" i="30"/>
  <c r="NL17" i="30"/>
  <c r="NF20" i="30"/>
  <c r="NG20" i="30"/>
  <c r="NH20" i="30"/>
  <c r="NI20" i="30"/>
  <c r="NK20" i="30"/>
  <c r="NL20" i="30"/>
  <c r="NF22" i="30"/>
  <c r="NG22" i="30"/>
  <c r="NH22" i="30"/>
  <c r="NI22" i="30"/>
  <c r="NK22" i="30"/>
  <c r="NL22" i="30"/>
  <c r="NF23" i="30"/>
  <c r="NG23" i="30"/>
  <c r="NH23" i="30"/>
  <c r="NI23" i="30"/>
  <c r="NK23" i="30"/>
  <c r="NL23" i="30"/>
  <c r="NF24" i="30"/>
  <c r="NG24" i="30"/>
  <c r="NH24" i="30"/>
  <c r="NI24" i="30"/>
  <c r="NK24" i="30"/>
  <c r="NL24" i="30"/>
  <c r="NF27" i="30"/>
  <c r="NG27" i="30"/>
  <c r="NH27" i="30"/>
  <c r="NI27" i="30"/>
  <c r="NK27" i="30"/>
  <c r="NL27" i="30"/>
  <c r="NF28" i="30"/>
  <c r="NG28" i="30"/>
  <c r="NH28" i="30"/>
  <c r="NI28" i="30"/>
  <c r="NK28" i="30"/>
  <c r="NL28" i="30"/>
  <c r="NF29" i="30"/>
  <c r="NG29" i="30"/>
  <c r="NH29" i="30"/>
  <c r="NI29" i="30"/>
  <c r="NK29" i="30"/>
  <c r="NL29" i="30"/>
  <c r="NF30" i="30"/>
  <c r="NG30" i="30"/>
  <c r="NH30" i="30"/>
  <c r="NI30" i="30"/>
  <c r="NK30" i="30"/>
  <c r="NL30" i="30"/>
  <c r="NF35" i="30"/>
  <c r="NG35" i="30"/>
  <c r="NH35" i="30"/>
  <c r="NI35" i="30"/>
  <c r="NK35" i="30"/>
  <c r="NL35" i="30"/>
  <c r="NF33" i="30"/>
  <c r="NG33" i="30"/>
  <c r="NH33" i="30"/>
  <c r="NI33" i="30"/>
  <c r="NK33" i="30"/>
  <c r="NL33" i="30"/>
  <c r="NF34" i="30"/>
  <c r="NG34" i="30"/>
  <c r="NH34" i="30"/>
  <c r="NI34" i="30"/>
  <c r="NK34" i="30"/>
  <c r="NL34" i="30"/>
  <c r="NF31" i="30"/>
  <c r="NG31" i="30"/>
  <c r="NH31" i="30"/>
  <c r="NI31" i="30"/>
  <c r="NK31" i="30"/>
  <c r="NL31" i="30"/>
  <c r="NF36" i="30"/>
  <c r="NG36" i="30"/>
  <c r="NH36" i="30"/>
  <c r="NI36" i="30"/>
  <c r="NK36" i="30"/>
  <c r="NL36" i="30"/>
  <c r="NF37" i="30"/>
  <c r="NG37" i="30"/>
  <c r="NH37" i="30"/>
  <c r="NI37" i="30"/>
  <c r="NK37" i="30"/>
  <c r="NL37" i="30"/>
  <c r="NF38" i="30"/>
  <c r="NG38" i="30"/>
  <c r="NH38" i="30"/>
  <c r="NI38" i="30"/>
  <c r="NK38" i="30"/>
  <c r="NL38" i="30"/>
  <c r="NF40" i="30"/>
  <c r="NG40" i="30"/>
  <c r="NH40" i="30"/>
  <c r="NI40" i="30"/>
  <c r="NK40" i="30"/>
  <c r="NL40" i="30"/>
  <c r="NF41" i="30"/>
  <c r="NG41" i="30"/>
  <c r="NH41" i="30"/>
  <c r="NI41" i="30"/>
  <c r="NK41" i="30"/>
  <c r="NL41" i="30"/>
  <c r="NF42" i="30"/>
  <c r="NG42" i="30"/>
  <c r="NH42" i="30"/>
  <c r="NI42" i="30"/>
  <c r="NK42" i="30"/>
  <c r="NL42" i="30"/>
  <c r="NF44" i="30"/>
  <c r="NG44" i="30"/>
  <c r="NH44" i="30"/>
  <c r="NI44" i="30"/>
  <c r="NK44" i="30"/>
  <c r="NL44" i="30"/>
  <c r="NF45" i="30"/>
  <c r="NG45" i="30"/>
  <c r="NH45" i="30"/>
  <c r="NI45" i="30"/>
  <c r="NK45" i="30"/>
  <c r="NL45" i="30"/>
  <c r="NF46" i="30"/>
  <c r="NG46" i="30"/>
  <c r="NH46" i="30"/>
  <c r="NI46" i="30"/>
  <c r="NK46" i="30"/>
  <c r="NL46" i="30"/>
  <c r="NF50" i="30"/>
  <c r="NG50" i="30"/>
  <c r="NH50" i="30"/>
  <c r="NI50" i="30"/>
  <c r="NK50" i="30"/>
  <c r="NL50" i="30"/>
  <c r="NF51" i="30"/>
  <c r="NG51" i="30"/>
  <c r="NH51" i="30"/>
  <c r="NI51" i="30"/>
  <c r="NK51" i="30"/>
  <c r="NL51" i="30"/>
  <c r="NF52" i="30"/>
  <c r="NG52" i="30"/>
  <c r="NH52" i="30"/>
  <c r="NI52" i="30"/>
  <c r="NK52" i="30"/>
  <c r="NL52" i="30"/>
  <c r="NF55" i="30"/>
  <c r="NG55" i="30"/>
  <c r="NH55" i="30"/>
  <c r="NI55" i="30"/>
  <c r="NK55" i="30"/>
  <c r="NL55" i="30"/>
  <c r="NF56" i="30"/>
  <c r="NG56" i="30"/>
  <c r="NH56" i="30"/>
  <c r="NI56" i="30"/>
  <c r="NK56" i="30"/>
  <c r="NL56" i="30"/>
  <c r="NF57" i="30"/>
  <c r="NG57" i="30"/>
  <c r="NH57" i="30"/>
  <c r="NI57" i="30"/>
  <c r="NK57" i="30"/>
  <c r="NL57" i="30"/>
  <c r="NF58" i="30"/>
  <c r="NG58" i="30"/>
  <c r="NH58" i="30"/>
  <c r="NI58" i="30"/>
  <c r="NK58" i="30"/>
  <c r="NL58" i="30"/>
  <c r="NF59" i="30"/>
  <c r="NG59" i="30"/>
  <c r="NH59" i="30"/>
  <c r="NI59" i="30"/>
  <c r="NK59" i="30"/>
  <c r="NL59" i="30"/>
  <c r="NF60" i="30"/>
  <c r="NG60" i="30"/>
  <c r="NH60" i="30"/>
  <c r="NI60" i="30"/>
  <c r="NK60" i="30"/>
  <c r="NL60" i="30"/>
  <c r="NF62" i="30"/>
  <c r="NG62" i="30"/>
  <c r="NH62" i="30"/>
  <c r="NI62" i="30"/>
  <c r="NK62" i="30"/>
  <c r="NL62" i="30"/>
  <c r="NF63" i="30"/>
  <c r="NG63" i="30"/>
  <c r="NH63" i="30"/>
  <c r="NI63" i="30"/>
  <c r="NK63" i="30"/>
  <c r="NL63" i="30"/>
  <c r="NF64" i="30"/>
  <c r="NG64" i="30"/>
  <c r="NH64" i="30"/>
  <c r="NI64" i="30"/>
  <c r="NK64" i="30"/>
  <c r="NL64" i="30"/>
  <c r="NF65" i="30"/>
  <c r="NG65" i="30"/>
  <c r="NH65" i="30"/>
  <c r="NI65" i="30"/>
  <c r="NK65" i="30"/>
  <c r="NL65" i="30"/>
  <c r="NF67" i="30"/>
  <c r="NG67" i="30"/>
  <c r="NH67" i="30"/>
  <c r="NI67" i="30"/>
  <c r="NK67" i="30"/>
  <c r="NL67" i="30"/>
  <c r="NG5" i="30"/>
  <c r="NH5" i="30"/>
  <c r="NI5" i="30"/>
  <c r="NL5" i="30"/>
  <c r="NF5" i="30"/>
  <c r="MN6" i="30"/>
  <c r="MO6" i="30"/>
  <c r="MP6" i="30"/>
  <c r="MQ6" i="30"/>
  <c r="MS6" i="30"/>
  <c r="MT6" i="30"/>
  <c r="MN8" i="30"/>
  <c r="MO8" i="30"/>
  <c r="MP8" i="30"/>
  <c r="MQ8" i="30"/>
  <c r="MS8" i="30"/>
  <c r="MT8" i="30"/>
  <c r="MN9" i="30"/>
  <c r="MO9" i="30"/>
  <c r="MP9" i="30"/>
  <c r="MQ9" i="30"/>
  <c r="MS9" i="30"/>
  <c r="MT9" i="30"/>
  <c r="MN18" i="30"/>
  <c r="MO18" i="30"/>
  <c r="MP18" i="30"/>
  <c r="MQ18" i="30"/>
  <c r="MS18" i="30"/>
  <c r="MT18" i="30"/>
  <c r="MN10" i="30"/>
  <c r="MO10" i="30"/>
  <c r="MP10" i="30"/>
  <c r="MQ10" i="30"/>
  <c r="MS10" i="30"/>
  <c r="MT10" i="30"/>
  <c r="MN11" i="30"/>
  <c r="MO11" i="30"/>
  <c r="MP11" i="30"/>
  <c r="MQ11" i="30"/>
  <c r="MS11" i="30"/>
  <c r="MT11" i="30"/>
  <c r="MN12" i="30"/>
  <c r="MO12" i="30"/>
  <c r="MP12" i="30"/>
  <c r="MQ12" i="30"/>
  <c r="MS12" i="30"/>
  <c r="MT12" i="30"/>
  <c r="MN13" i="30"/>
  <c r="MO13" i="30"/>
  <c r="MP13" i="30"/>
  <c r="MQ13" i="30"/>
  <c r="MS13" i="30"/>
  <c r="MT13" i="30"/>
  <c r="MN16" i="30"/>
  <c r="MO16" i="30"/>
  <c r="MP16" i="30"/>
  <c r="MQ16" i="30"/>
  <c r="MS16" i="30"/>
  <c r="MT16" i="30"/>
  <c r="MN17" i="30"/>
  <c r="MO17" i="30"/>
  <c r="MP17" i="30"/>
  <c r="MQ17" i="30"/>
  <c r="MS17" i="30"/>
  <c r="MT17" i="30"/>
  <c r="MN20" i="30"/>
  <c r="MO20" i="30"/>
  <c r="MP20" i="30"/>
  <c r="MQ20" i="30"/>
  <c r="MS20" i="30"/>
  <c r="MT20" i="30"/>
  <c r="MN22" i="30"/>
  <c r="MO22" i="30"/>
  <c r="MP22" i="30"/>
  <c r="MQ22" i="30"/>
  <c r="MS22" i="30"/>
  <c r="MT22" i="30"/>
  <c r="MN23" i="30"/>
  <c r="MO23" i="30"/>
  <c r="MP23" i="30"/>
  <c r="MQ23" i="30"/>
  <c r="MS23" i="30"/>
  <c r="MT23" i="30"/>
  <c r="MN24" i="30"/>
  <c r="MO24" i="30"/>
  <c r="MP24" i="30"/>
  <c r="MQ24" i="30"/>
  <c r="MS24" i="30"/>
  <c r="MT24" i="30"/>
  <c r="MN27" i="30"/>
  <c r="MO27" i="30"/>
  <c r="MP27" i="30"/>
  <c r="MQ27" i="30"/>
  <c r="MS27" i="30"/>
  <c r="MT27" i="30"/>
  <c r="MN28" i="30"/>
  <c r="MO28" i="30"/>
  <c r="MP28" i="30"/>
  <c r="MQ28" i="30"/>
  <c r="MS28" i="30"/>
  <c r="MT28" i="30"/>
  <c r="MN29" i="30"/>
  <c r="MO29" i="30"/>
  <c r="MP29" i="30"/>
  <c r="MQ29" i="30"/>
  <c r="MS29" i="30"/>
  <c r="MT29" i="30"/>
  <c r="MN30" i="30"/>
  <c r="MO30" i="30"/>
  <c r="MP30" i="30"/>
  <c r="MQ30" i="30"/>
  <c r="MS30" i="30"/>
  <c r="MT30" i="30"/>
  <c r="MN35" i="30"/>
  <c r="MO35" i="30"/>
  <c r="MP35" i="30"/>
  <c r="MQ35" i="30"/>
  <c r="MS35" i="30"/>
  <c r="MT35" i="30"/>
  <c r="MN33" i="30"/>
  <c r="MO33" i="30"/>
  <c r="MP33" i="30"/>
  <c r="MQ33" i="30"/>
  <c r="MS33" i="30"/>
  <c r="MT33" i="30"/>
  <c r="MN34" i="30"/>
  <c r="MO34" i="30"/>
  <c r="MP34" i="30"/>
  <c r="MQ34" i="30"/>
  <c r="MS34" i="30"/>
  <c r="MT34" i="30"/>
  <c r="MN31" i="30"/>
  <c r="MO31" i="30"/>
  <c r="MP31" i="30"/>
  <c r="MQ31" i="30"/>
  <c r="MS31" i="30"/>
  <c r="MT31" i="30"/>
  <c r="MN36" i="30"/>
  <c r="MO36" i="30"/>
  <c r="MP36" i="30"/>
  <c r="MQ36" i="30"/>
  <c r="MS36" i="30"/>
  <c r="MT36" i="30"/>
  <c r="MN37" i="30"/>
  <c r="MO37" i="30"/>
  <c r="MP37" i="30"/>
  <c r="MQ37" i="30"/>
  <c r="MS37" i="30"/>
  <c r="MT37" i="30"/>
  <c r="MN38" i="30"/>
  <c r="MO38" i="30"/>
  <c r="MP38" i="30"/>
  <c r="MQ38" i="30"/>
  <c r="MS38" i="30"/>
  <c r="MT38" i="30"/>
  <c r="MN40" i="30"/>
  <c r="MO40" i="30"/>
  <c r="MP40" i="30"/>
  <c r="MQ40" i="30"/>
  <c r="MS40" i="30"/>
  <c r="MT40" i="30"/>
  <c r="MN41" i="30"/>
  <c r="MO41" i="30"/>
  <c r="MP41" i="30"/>
  <c r="MQ41" i="30"/>
  <c r="MS41" i="30"/>
  <c r="MT41" i="30"/>
  <c r="MN42" i="30"/>
  <c r="MO42" i="30"/>
  <c r="MP42" i="30"/>
  <c r="MQ42" i="30"/>
  <c r="MS42" i="30"/>
  <c r="MT42" i="30"/>
  <c r="MN44" i="30"/>
  <c r="MO44" i="30"/>
  <c r="MP44" i="30"/>
  <c r="MQ44" i="30"/>
  <c r="MS44" i="30"/>
  <c r="MT44" i="30"/>
  <c r="MN45" i="30"/>
  <c r="MO45" i="30"/>
  <c r="MP45" i="30"/>
  <c r="MQ45" i="30"/>
  <c r="MS45" i="30"/>
  <c r="MT45" i="30"/>
  <c r="MN46" i="30"/>
  <c r="MO46" i="30"/>
  <c r="MP46" i="30"/>
  <c r="MQ46" i="30"/>
  <c r="MS46" i="30"/>
  <c r="MT46" i="30"/>
  <c r="MN50" i="30"/>
  <c r="MO50" i="30"/>
  <c r="MP50" i="30"/>
  <c r="MQ50" i="30"/>
  <c r="MS50" i="30"/>
  <c r="MT50" i="30"/>
  <c r="MN51" i="30"/>
  <c r="MO51" i="30"/>
  <c r="MP51" i="30"/>
  <c r="MQ51" i="30"/>
  <c r="MS51" i="30"/>
  <c r="MT51" i="30"/>
  <c r="MN52" i="30"/>
  <c r="MO52" i="30"/>
  <c r="MP52" i="30"/>
  <c r="MQ52" i="30"/>
  <c r="MS52" i="30"/>
  <c r="MT52" i="30"/>
  <c r="MN55" i="30"/>
  <c r="MO55" i="30"/>
  <c r="MP55" i="30"/>
  <c r="MQ55" i="30"/>
  <c r="MS55" i="30"/>
  <c r="MT55" i="30"/>
  <c r="MN56" i="30"/>
  <c r="MO56" i="30"/>
  <c r="MP56" i="30"/>
  <c r="MQ56" i="30"/>
  <c r="MS56" i="30"/>
  <c r="MT56" i="30"/>
  <c r="MN57" i="30"/>
  <c r="MO57" i="30"/>
  <c r="MP57" i="30"/>
  <c r="MQ57" i="30"/>
  <c r="MS57" i="30"/>
  <c r="MT57" i="30"/>
  <c r="MN58" i="30"/>
  <c r="MO58" i="30"/>
  <c r="MP58" i="30"/>
  <c r="MQ58" i="30"/>
  <c r="MS58" i="30"/>
  <c r="MT58" i="30"/>
  <c r="MN59" i="30"/>
  <c r="MO59" i="30"/>
  <c r="MP59" i="30"/>
  <c r="MQ59" i="30"/>
  <c r="MS59" i="30"/>
  <c r="MT59" i="30"/>
  <c r="MN60" i="30"/>
  <c r="MO60" i="30"/>
  <c r="MP60" i="30"/>
  <c r="MQ60" i="30"/>
  <c r="MS60" i="30"/>
  <c r="MT60" i="30"/>
  <c r="MN62" i="30"/>
  <c r="MO62" i="30"/>
  <c r="MP62" i="30"/>
  <c r="MQ62" i="30"/>
  <c r="MS62" i="30"/>
  <c r="MT62" i="30"/>
  <c r="MN63" i="30"/>
  <c r="MO63" i="30"/>
  <c r="MP63" i="30"/>
  <c r="MQ63" i="30"/>
  <c r="MS63" i="30"/>
  <c r="MT63" i="30"/>
  <c r="MN64" i="30"/>
  <c r="MO64" i="30"/>
  <c r="MP64" i="30"/>
  <c r="MQ64" i="30"/>
  <c r="MS64" i="30"/>
  <c r="MT64" i="30"/>
  <c r="MN65" i="30"/>
  <c r="MO65" i="30"/>
  <c r="MP65" i="30"/>
  <c r="MQ65" i="30"/>
  <c r="MS65" i="30"/>
  <c r="MT65" i="30"/>
  <c r="MN67" i="30"/>
  <c r="MO67" i="30"/>
  <c r="MP67" i="30"/>
  <c r="MQ67" i="30"/>
  <c r="MS67" i="30"/>
  <c r="MT67" i="30"/>
  <c r="MO5" i="30"/>
  <c r="MP5" i="30"/>
  <c r="MQ5" i="30"/>
  <c r="MT5" i="30"/>
  <c r="MN5" i="30"/>
  <c r="NE5" i="30"/>
  <c r="MW70" i="30"/>
  <c r="MV70" i="30"/>
  <c r="ND68" i="30"/>
  <c r="ND71" i="30" s="1"/>
  <c r="NC68" i="30"/>
  <c r="NC71" i="30" s="1"/>
  <c r="NA68" i="30"/>
  <c r="NA71" i="30" s="1"/>
  <c r="MZ68" i="30"/>
  <c r="MZ71" i="30" s="1"/>
  <c r="MY68" i="30"/>
  <c r="MY71" i="30" s="1"/>
  <c r="MX68" i="30"/>
  <c r="MX71" i="30" s="1"/>
  <c r="MW68" i="30"/>
  <c r="MV61" i="30"/>
  <c r="MV43" i="30"/>
  <c r="ME70" i="30"/>
  <c r="MD70" i="30"/>
  <c r="ML68" i="30"/>
  <c r="ML71" i="30" s="1"/>
  <c r="MK68" i="30"/>
  <c r="MK71" i="30" s="1"/>
  <c r="MI68" i="30"/>
  <c r="MI71" i="30" s="1"/>
  <c r="MH68" i="30"/>
  <c r="MH71" i="30" s="1"/>
  <c r="MG68" i="30"/>
  <c r="MG71" i="30" s="1"/>
  <c r="MF68" i="30"/>
  <c r="MF71" i="30" s="1"/>
  <c r="ME68" i="30"/>
  <c r="MD61" i="30"/>
  <c r="MD54" i="30"/>
  <c r="MO43" i="30"/>
  <c r="IP18" i="30"/>
  <c r="IQ18" i="30"/>
  <c r="IR18" i="30"/>
  <c r="IS18" i="30"/>
  <c r="IT18" i="30"/>
  <c r="IU18" i="30"/>
  <c r="IV18" i="30"/>
  <c r="IW18" i="30"/>
  <c r="IX18" i="30"/>
  <c r="IP10" i="30"/>
  <c r="IQ10" i="30"/>
  <c r="IR10" i="30"/>
  <c r="IS10" i="30"/>
  <c r="IT10" i="30"/>
  <c r="IU10" i="30"/>
  <c r="IV10" i="30"/>
  <c r="IW10" i="30"/>
  <c r="IX10" i="30"/>
  <c r="IP12" i="30"/>
  <c r="IQ12" i="30"/>
  <c r="IR12" i="30"/>
  <c r="IS12" i="30"/>
  <c r="IT12" i="30"/>
  <c r="IU12" i="30"/>
  <c r="IV12" i="30"/>
  <c r="IW12" i="30"/>
  <c r="IX12" i="30"/>
  <c r="LV6" i="30"/>
  <c r="LW6" i="30"/>
  <c r="LX6" i="30"/>
  <c r="LY6" i="30"/>
  <c r="LZ6" i="30"/>
  <c r="MA6" i="30"/>
  <c r="MB6" i="30"/>
  <c r="LV8" i="30"/>
  <c r="LW8" i="30"/>
  <c r="LX8" i="30"/>
  <c r="LY8" i="30"/>
  <c r="LZ8" i="30"/>
  <c r="MA8" i="30"/>
  <c r="MB8" i="30"/>
  <c r="LV9" i="30"/>
  <c r="LW9" i="30"/>
  <c r="LX9" i="30"/>
  <c r="LY9" i="30"/>
  <c r="LZ9" i="30"/>
  <c r="MA9" i="30"/>
  <c r="MB9" i="30"/>
  <c r="LV18" i="30"/>
  <c r="LW18" i="30"/>
  <c r="LX18" i="30"/>
  <c r="LY18" i="30"/>
  <c r="LZ18" i="30"/>
  <c r="MA18" i="30"/>
  <c r="MB18" i="30"/>
  <c r="LV10" i="30"/>
  <c r="LW10" i="30"/>
  <c r="LX10" i="30"/>
  <c r="LY10" i="30"/>
  <c r="LZ10" i="30"/>
  <c r="MA10" i="30"/>
  <c r="MB10" i="30"/>
  <c r="LV11" i="30"/>
  <c r="LW11" i="30"/>
  <c r="LX11" i="30"/>
  <c r="LY11" i="30"/>
  <c r="LZ11" i="30"/>
  <c r="MA11" i="30"/>
  <c r="MB11" i="30"/>
  <c r="LV12" i="30"/>
  <c r="LW12" i="30"/>
  <c r="LX12" i="30"/>
  <c r="LY12" i="30"/>
  <c r="LZ12" i="30"/>
  <c r="MA12" i="30"/>
  <c r="MB12" i="30"/>
  <c r="LV13" i="30"/>
  <c r="LW13" i="30"/>
  <c r="LX13" i="30"/>
  <c r="LY13" i="30"/>
  <c r="LZ13" i="30"/>
  <c r="MA13" i="30"/>
  <c r="MB13" i="30"/>
  <c r="LV16" i="30"/>
  <c r="LW16" i="30"/>
  <c r="LX16" i="30"/>
  <c r="LY16" i="30"/>
  <c r="LZ16" i="30"/>
  <c r="MA16" i="30"/>
  <c r="MB16" i="30"/>
  <c r="LV17" i="30"/>
  <c r="LW17" i="30"/>
  <c r="LX17" i="30"/>
  <c r="LY17" i="30"/>
  <c r="LZ17" i="30"/>
  <c r="MA17" i="30"/>
  <c r="MB17" i="30"/>
  <c r="LV20" i="30"/>
  <c r="LW20" i="30"/>
  <c r="LX20" i="30"/>
  <c r="LY20" i="30"/>
  <c r="LZ20" i="30"/>
  <c r="MA20" i="30"/>
  <c r="MB20" i="30"/>
  <c r="LV22" i="30"/>
  <c r="LW22" i="30"/>
  <c r="LX22" i="30"/>
  <c r="LY22" i="30"/>
  <c r="LZ22" i="30"/>
  <c r="MA22" i="30"/>
  <c r="MB22" i="30"/>
  <c r="LV23" i="30"/>
  <c r="LW23" i="30"/>
  <c r="LX23" i="30"/>
  <c r="LY23" i="30"/>
  <c r="LZ23" i="30"/>
  <c r="MA23" i="30"/>
  <c r="MB23" i="30"/>
  <c r="LV24" i="30"/>
  <c r="LW24" i="30"/>
  <c r="LX24" i="30"/>
  <c r="LY24" i="30"/>
  <c r="LZ24" i="30"/>
  <c r="MA24" i="30"/>
  <c r="MB24" i="30"/>
  <c r="LV27" i="30"/>
  <c r="LW27" i="30"/>
  <c r="LX27" i="30"/>
  <c r="LY27" i="30"/>
  <c r="LZ27" i="30"/>
  <c r="MA27" i="30"/>
  <c r="MB27" i="30"/>
  <c r="LV28" i="30"/>
  <c r="LW28" i="30"/>
  <c r="LX28" i="30"/>
  <c r="LY28" i="30"/>
  <c r="LZ28" i="30"/>
  <c r="MA28" i="30"/>
  <c r="MB28" i="30"/>
  <c r="LV29" i="30"/>
  <c r="LW29" i="30"/>
  <c r="LX29" i="30"/>
  <c r="LY29" i="30"/>
  <c r="LZ29" i="30"/>
  <c r="MA29" i="30"/>
  <c r="MB29" i="30"/>
  <c r="LV30" i="30"/>
  <c r="LW30" i="30"/>
  <c r="LX30" i="30"/>
  <c r="LY30" i="30"/>
  <c r="LZ30" i="30"/>
  <c r="MA30" i="30"/>
  <c r="MB30" i="30"/>
  <c r="LV35" i="30"/>
  <c r="LW35" i="30"/>
  <c r="LX35" i="30"/>
  <c r="LY35" i="30"/>
  <c r="LZ35" i="30"/>
  <c r="MA35" i="30"/>
  <c r="MB35" i="30"/>
  <c r="LV33" i="30"/>
  <c r="LW33" i="30"/>
  <c r="LX33" i="30"/>
  <c r="LY33" i="30"/>
  <c r="LZ33" i="30"/>
  <c r="MA33" i="30"/>
  <c r="MB33" i="30"/>
  <c r="LV34" i="30"/>
  <c r="LW34" i="30"/>
  <c r="LX34" i="30"/>
  <c r="LY34" i="30"/>
  <c r="LZ34" i="30"/>
  <c r="MA34" i="30"/>
  <c r="MB34" i="30"/>
  <c r="LV31" i="30"/>
  <c r="LW31" i="30"/>
  <c r="LX31" i="30"/>
  <c r="LY31" i="30"/>
  <c r="LZ31" i="30"/>
  <c r="MA31" i="30"/>
  <c r="MB31" i="30"/>
  <c r="LV36" i="30"/>
  <c r="LW36" i="30"/>
  <c r="LX36" i="30"/>
  <c r="LY36" i="30"/>
  <c r="LZ36" i="30"/>
  <c r="MA36" i="30"/>
  <c r="MB36" i="30"/>
  <c r="LV37" i="30"/>
  <c r="LW37" i="30"/>
  <c r="LX37" i="30"/>
  <c r="LY37" i="30"/>
  <c r="LZ37" i="30"/>
  <c r="MA37" i="30"/>
  <c r="MB37" i="30"/>
  <c r="LV38" i="30"/>
  <c r="LW38" i="30"/>
  <c r="LX38" i="30"/>
  <c r="LY38" i="30"/>
  <c r="LZ38" i="30"/>
  <c r="MA38" i="30"/>
  <c r="MB38" i="30"/>
  <c r="LV40" i="30"/>
  <c r="LW40" i="30"/>
  <c r="LX40" i="30"/>
  <c r="LY40" i="30"/>
  <c r="LZ40" i="30"/>
  <c r="MA40" i="30"/>
  <c r="MB40" i="30"/>
  <c r="LV41" i="30"/>
  <c r="LW41" i="30"/>
  <c r="LX41" i="30"/>
  <c r="LY41" i="30"/>
  <c r="LZ41" i="30"/>
  <c r="MA41" i="30"/>
  <c r="MB41" i="30"/>
  <c r="LV42" i="30"/>
  <c r="LW42" i="30"/>
  <c r="LX42" i="30"/>
  <c r="LY42" i="30"/>
  <c r="LZ42" i="30"/>
  <c r="MA42" i="30"/>
  <c r="MB42" i="30"/>
  <c r="LV44" i="30"/>
  <c r="LW44" i="30"/>
  <c r="LX44" i="30"/>
  <c r="LY44" i="30"/>
  <c r="LZ44" i="30"/>
  <c r="MA44" i="30"/>
  <c r="MB44" i="30"/>
  <c r="LV45" i="30"/>
  <c r="LW45" i="30"/>
  <c r="LX45" i="30"/>
  <c r="LY45" i="30"/>
  <c r="LZ45" i="30"/>
  <c r="MA45" i="30"/>
  <c r="MB45" i="30"/>
  <c r="LV46" i="30"/>
  <c r="LW46" i="30"/>
  <c r="LX46" i="30"/>
  <c r="LY46" i="30"/>
  <c r="LZ46" i="30"/>
  <c r="MA46" i="30"/>
  <c r="MB46" i="30"/>
  <c r="LV50" i="30"/>
  <c r="LW50" i="30"/>
  <c r="LX50" i="30"/>
  <c r="LY50" i="30"/>
  <c r="LZ50" i="30"/>
  <c r="MA50" i="30"/>
  <c r="MB50" i="30"/>
  <c r="LV51" i="30"/>
  <c r="LW51" i="30"/>
  <c r="LX51" i="30"/>
  <c r="LY51" i="30"/>
  <c r="LZ51" i="30"/>
  <c r="MA51" i="30"/>
  <c r="MB51" i="30"/>
  <c r="LV52" i="30"/>
  <c r="LW52" i="30"/>
  <c r="LX52" i="30"/>
  <c r="LY52" i="30"/>
  <c r="LZ52" i="30"/>
  <c r="MA52" i="30"/>
  <c r="MB52" i="30"/>
  <c r="LV55" i="30"/>
  <c r="LW55" i="30"/>
  <c r="LX55" i="30"/>
  <c r="LY55" i="30"/>
  <c r="LZ55" i="30"/>
  <c r="MA55" i="30"/>
  <c r="MB55" i="30"/>
  <c r="LV56" i="30"/>
  <c r="LW56" i="30"/>
  <c r="LX56" i="30"/>
  <c r="LY56" i="30"/>
  <c r="LZ56" i="30"/>
  <c r="MA56" i="30"/>
  <c r="MB56" i="30"/>
  <c r="LV57" i="30"/>
  <c r="LW57" i="30"/>
  <c r="LX57" i="30"/>
  <c r="LY57" i="30"/>
  <c r="LZ57" i="30"/>
  <c r="MA57" i="30"/>
  <c r="MB57" i="30"/>
  <c r="LV58" i="30"/>
  <c r="LW58" i="30"/>
  <c r="LX58" i="30"/>
  <c r="LY58" i="30"/>
  <c r="LZ58" i="30"/>
  <c r="MA58" i="30"/>
  <c r="MB58" i="30"/>
  <c r="LV59" i="30"/>
  <c r="LW59" i="30"/>
  <c r="LX59" i="30"/>
  <c r="LY59" i="30"/>
  <c r="LZ59" i="30"/>
  <c r="MA59" i="30"/>
  <c r="MB59" i="30"/>
  <c r="LV60" i="30"/>
  <c r="LW60" i="30"/>
  <c r="LX60" i="30"/>
  <c r="LY60" i="30"/>
  <c r="LZ60" i="30"/>
  <c r="MA60" i="30"/>
  <c r="MB60" i="30"/>
  <c r="LV62" i="30"/>
  <c r="LW62" i="30"/>
  <c r="LX62" i="30"/>
  <c r="LY62" i="30"/>
  <c r="LZ62" i="30"/>
  <c r="MA62" i="30"/>
  <c r="MB62" i="30"/>
  <c r="LV63" i="30"/>
  <c r="LW63" i="30"/>
  <c r="LX63" i="30"/>
  <c r="LY63" i="30"/>
  <c r="LZ63" i="30"/>
  <c r="MA63" i="30"/>
  <c r="MB63" i="30"/>
  <c r="LV64" i="30"/>
  <c r="LW64" i="30"/>
  <c r="LX64" i="30"/>
  <c r="LY64" i="30"/>
  <c r="LZ64" i="30"/>
  <c r="MA64" i="30"/>
  <c r="MB64" i="30"/>
  <c r="LV65" i="30"/>
  <c r="LW65" i="30"/>
  <c r="LX65" i="30"/>
  <c r="LY65" i="30"/>
  <c r="LZ65" i="30"/>
  <c r="MA65" i="30"/>
  <c r="MB65" i="30"/>
  <c r="LV67" i="30"/>
  <c r="LW67" i="30"/>
  <c r="LX67" i="30"/>
  <c r="LY67" i="30"/>
  <c r="LZ67" i="30"/>
  <c r="MA67" i="30"/>
  <c r="MB67" i="30"/>
  <c r="LW5" i="30"/>
  <c r="LX5" i="30"/>
  <c r="LY5" i="30"/>
  <c r="LZ5" i="30"/>
  <c r="MA5" i="30"/>
  <c r="MB5" i="30"/>
  <c r="LV5" i="30"/>
  <c r="LU6" i="30"/>
  <c r="LU8" i="30"/>
  <c r="LU9" i="30"/>
  <c r="LU18" i="30"/>
  <c r="LU10" i="30"/>
  <c r="LU11" i="30"/>
  <c r="LU12" i="30"/>
  <c r="LU13" i="30"/>
  <c r="LU16" i="30"/>
  <c r="LU17" i="30"/>
  <c r="LU20" i="30"/>
  <c r="LU22" i="30"/>
  <c r="LU23" i="30"/>
  <c r="LU24" i="30"/>
  <c r="LU27" i="30"/>
  <c r="LU28" i="30"/>
  <c r="LU29" i="30"/>
  <c r="LU30" i="30"/>
  <c r="LU35" i="30"/>
  <c r="LU33" i="30"/>
  <c r="LU34" i="30"/>
  <c r="LU31" i="30"/>
  <c r="LU36" i="30"/>
  <c r="LU37" i="30"/>
  <c r="LU38" i="30"/>
  <c r="LU40" i="30"/>
  <c r="LU41" i="30"/>
  <c r="LU42" i="30"/>
  <c r="LU43" i="30"/>
  <c r="LU44" i="30"/>
  <c r="LU45" i="30"/>
  <c r="LU46" i="30"/>
  <c r="LU50" i="30"/>
  <c r="LU51" i="30"/>
  <c r="LU52" i="30"/>
  <c r="LU54" i="30"/>
  <c r="LU55" i="30"/>
  <c r="LU56" i="30"/>
  <c r="LU57" i="30"/>
  <c r="LU58" i="30"/>
  <c r="LU59" i="30"/>
  <c r="LU60" i="30"/>
  <c r="LU61" i="30"/>
  <c r="LU62" i="30"/>
  <c r="LU63" i="30"/>
  <c r="LU64" i="30"/>
  <c r="LU65" i="30"/>
  <c r="LU67" i="30"/>
  <c r="LU5" i="30"/>
  <c r="LM70" i="30"/>
  <c r="LT68" i="30"/>
  <c r="LT71" i="30" s="1"/>
  <c r="LS68" i="30"/>
  <c r="LS71" i="30" s="1"/>
  <c r="LR68" i="30"/>
  <c r="LR71" i="30" s="1"/>
  <c r="LQ68" i="30"/>
  <c r="LQ71" i="30" s="1"/>
  <c r="LP68" i="30"/>
  <c r="LP71" i="30" s="1"/>
  <c r="LO68" i="30"/>
  <c r="LO71" i="30" s="1"/>
  <c r="LN68" i="30"/>
  <c r="LN71" i="30" s="1"/>
  <c r="LM68" i="30"/>
  <c r="LL61" i="30"/>
  <c r="LV61" i="30" s="1"/>
  <c r="NM60" i="30" l="1"/>
  <c r="NM56" i="30"/>
  <c r="NM52" i="30"/>
  <c r="NM45" i="30"/>
  <c r="NM37" i="30"/>
  <c r="NM33" i="30"/>
  <c r="NM30" i="30"/>
  <c r="NM28" i="30"/>
  <c r="NM22" i="30"/>
  <c r="NM17" i="30"/>
  <c r="NM8" i="30"/>
  <c r="NM65" i="30"/>
  <c r="NM63" i="30"/>
  <c r="NM58" i="30"/>
  <c r="NM50" i="30"/>
  <c r="NM42" i="30"/>
  <c r="NM40" i="30"/>
  <c r="NM31" i="30"/>
  <c r="NM24" i="30"/>
  <c r="NM13" i="30"/>
  <c r="NM11" i="30"/>
  <c r="NM18" i="30"/>
  <c r="NM67" i="30"/>
  <c r="NM64" i="30"/>
  <c r="NM62" i="30"/>
  <c r="NM59" i="30"/>
  <c r="NM57" i="30"/>
  <c r="NM55" i="30"/>
  <c r="NM51" i="30"/>
  <c r="NM46" i="30"/>
  <c r="NM44" i="30"/>
  <c r="NM41" i="30"/>
  <c r="NM38" i="30"/>
  <c r="NM36" i="30"/>
  <c r="NM34" i="30"/>
  <c r="NM35" i="30"/>
  <c r="NM29" i="30"/>
  <c r="NM27" i="30"/>
  <c r="NM23" i="30"/>
  <c r="NM20" i="30"/>
  <c r="NM16" i="30"/>
  <c r="NM12" i="30"/>
  <c r="NM10" i="30"/>
  <c r="NM9" i="30"/>
  <c r="NM6" i="30"/>
  <c r="NM5" i="30"/>
  <c r="MQ54" i="30"/>
  <c r="MR54" i="30"/>
  <c r="NI43" i="30"/>
  <c r="NJ43" i="30"/>
  <c r="MU67" i="30"/>
  <c r="MU64" i="30"/>
  <c r="MU62" i="30"/>
  <c r="MU59" i="30"/>
  <c r="MU57" i="30"/>
  <c r="MU55" i="30"/>
  <c r="MU51" i="30"/>
  <c r="MU46" i="30"/>
  <c r="MU44" i="30"/>
  <c r="MU41" i="30"/>
  <c r="MU38" i="30"/>
  <c r="MU36" i="30"/>
  <c r="MU34" i="30"/>
  <c r="MU35" i="30"/>
  <c r="MU29" i="30"/>
  <c r="MU27" i="30"/>
  <c r="MU23" i="30"/>
  <c r="MU20" i="30"/>
  <c r="MU16" i="30"/>
  <c r="MU12" i="30"/>
  <c r="MU10" i="30"/>
  <c r="MU9" i="30"/>
  <c r="MU6" i="30"/>
  <c r="NG54" i="30"/>
  <c r="NJ54" i="30"/>
  <c r="MO61" i="30"/>
  <c r="MR61" i="30"/>
  <c r="NG61" i="30"/>
  <c r="NJ61" i="30"/>
  <c r="MU5" i="30"/>
  <c r="MU65" i="30"/>
  <c r="MU63" i="30"/>
  <c r="MU60" i="30"/>
  <c r="MU58" i="30"/>
  <c r="MU56" i="30"/>
  <c r="MU52" i="30"/>
  <c r="MU50" i="30"/>
  <c r="MU45" i="30"/>
  <c r="MU42" i="30"/>
  <c r="MU40" i="30"/>
  <c r="MU37" i="30"/>
  <c r="MU31" i="30"/>
  <c r="MU33" i="30"/>
  <c r="MU30" i="30"/>
  <c r="MU28" i="30"/>
  <c r="MU24" i="30"/>
  <c r="MU22" i="30"/>
  <c r="MU17" i="30"/>
  <c r="MU13" i="30"/>
  <c r="MU11" i="30"/>
  <c r="MU18" i="30"/>
  <c r="MU8" i="30"/>
  <c r="MP43" i="30"/>
  <c r="MN43" i="30"/>
  <c r="NF61" i="30"/>
  <c r="MS61" i="30"/>
  <c r="NK43" i="30"/>
  <c r="MP61" i="30"/>
  <c r="MN61" i="30"/>
  <c r="NK61" i="30"/>
  <c r="NH43" i="30"/>
  <c r="MA61" i="30"/>
  <c r="MS43" i="30"/>
  <c r="NH61" i="30"/>
  <c r="NF43" i="30"/>
  <c r="MP54" i="30"/>
  <c r="NK54" i="30"/>
  <c r="NF54" i="30"/>
  <c r="MW71" i="30"/>
  <c r="MQ61" i="30"/>
  <c r="MT54" i="30"/>
  <c r="MO54" i="30"/>
  <c r="MQ43" i="30"/>
  <c r="NL61" i="30"/>
  <c r="NI54" i="30"/>
  <c r="NL43" i="30"/>
  <c r="NG43" i="30"/>
  <c r="MC13" i="30"/>
  <c r="MS54" i="30"/>
  <c r="MN54" i="30"/>
  <c r="NH54" i="30"/>
  <c r="MV68" i="30"/>
  <c r="MV71" i="30" s="1"/>
  <c r="MT61" i="30"/>
  <c r="MT43" i="30"/>
  <c r="NI61" i="30"/>
  <c r="NL54" i="30"/>
  <c r="MM68" i="30"/>
  <c r="NE68" i="30"/>
  <c r="LM71" i="30"/>
  <c r="ME71" i="30"/>
  <c r="MC46" i="30"/>
  <c r="LW61" i="30"/>
  <c r="LW54" i="30"/>
  <c r="MC67" i="30"/>
  <c r="LZ61" i="30"/>
  <c r="LL68" i="30"/>
  <c r="LV43" i="30"/>
  <c r="LZ43" i="30"/>
  <c r="LW43" i="30"/>
  <c r="MA43" i="30"/>
  <c r="LY43" i="30"/>
  <c r="LY54" i="30"/>
  <c r="LV54" i="30"/>
  <c r="LZ54" i="30"/>
  <c r="MC62" i="30"/>
  <c r="LX43" i="30"/>
  <c r="MC58" i="30"/>
  <c r="MA54" i="30"/>
  <c r="LX54" i="30"/>
  <c r="MC52" i="30"/>
  <c r="MC45" i="30"/>
  <c r="MB43" i="30"/>
  <c r="MC42" i="30"/>
  <c r="MC41" i="30"/>
  <c r="MC37" i="30"/>
  <c r="MC33" i="30"/>
  <c r="MC35" i="30"/>
  <c r="MC28" i="30"/>
  <c r="MC27" i="30"/>
  <c r="MC22" i="30"/>
  <c r="MC20" i="30"/>
  <c r="MB54" i="30"/>
  <c r="MC57" i="30"/>
  <c r="MC12" i="30"/>
  <c r="MC18" i="30"/>
  <c r="MC64" i="30"/>
  <c r="MC63" i="30"/>
  <c r="LY61" i="30"/>
  <c r="MC59" i="30"/>
  <c r="MC56" i="30"/>
  <c r="MC55" i="30"/>
  <c r="MC51" i="30"/>
  <c r="MC50" i="30"/>
  <c r="MC44" i="30"/>
  <c r="MC40" i="30"/>
  <c r="MC38" i="30"/>
  <c r="MC31" i="30"/>
  <c r="MC34" i="30"/>
  <c r="MC29" i="30"/>
  <c r="MC24" i="30"/>
  <c r="MC23" i="30"/>
  <c r="MC17" i="30"/>
  <c r="MC16" i="30"/>
  <c r="MC11" i="30"/>
  <c r="MC10" i="30"/>
  <c r="MC8" i="30"/>
  <c r="MC6" i="30"/>
  <c r="MD68" i="30"/>
  <c r="MD71" i="30" s="1"/>
  <c r="MC9" i="30"/>
  <c r="MC5" i="30"/>
  <c r="MB61" i="30"/>
  <c r="LX61" i="30"/>
  <c r="MC36" i="30"/>
  <c r="MC30" i="30"/>
  <c r="MC60" i="30"/>
  <c r="MC65" i="30"/>
  <c r="LU68" i="30"/>
  <c r="NM43" i="30" l="1"/>
  <c r="NM61" i="30"/>
  <c r="NM54" i="30"/>
  <c r="MU54" i="30"/>
  <c r="MU43" i="30"/>
  <c r="NG68" i="30"/>
  <c r="NG73" i="30" s="1"/>
  <c r="NZ68" i="30"/>
  <c r="NZ73" i="30" s="1"/>
  <c r="NJ68" i="30"/>
  <c r="NV68" i="30"/>
  <c r="NY68" i="30"/>
  <c r="MR68" i="30"/>
  <c r="MO68" i="30"/>
  <c r="MO71" i="30" s="1"/>
  <c r="MU61" i="30"/>
  <c r="NW68" i="30"/>
  <c r="NX68" i="30"/>
  <c r="MT68" i="30"/>
  <c r="MT71" i="30" s="1"/>
  <c r="MP68" i="30"/>
  <c r="MP71" i="30" s="1"/>
  <c r="MC61" i="30"/>
  <c r="NK68" i="30"/>
  <c r="NL68" i="30"/>
  <c r="NL73" i="30" s="1"/>
  <c r="NI68" i="30"/>
  <c r="NI73" i="30" s="1"/>
  <c r="NF68" i="30"/>
  <c r="NF73" i="30" s="1"/>
  <c r="NH68" i="30"/>
  <c r="MN68" i="30"/>
  <c r="MQ68" i="30"/>
  <c r="MQ73" i="30" s="1"/>
  <c r="MC54" i="30"/>
  <c r="MS68" i="30"/>
  <c r="MS71" i="30" s="1"/>
  <c r="MC43" i="30"/>
  <c r="LL70" i="30"/>
  <c r="LL71" i="30" s="1"/>
  <c r="NG71" i="30" l="1"/>
  <c r="MO73" i="30"/>
  <c r="NZ71" i="30"/>
  <c r="NV71" i="30"/>
  <c r="NV73" i="30"/>
  <c r="NW73" i="30"/>
  <c r="NW71" i="30"/>
  <c r="NJ73" i="30"/>
  <c r="NJ71" i="30"/>
  <c r="NY73" i="30"/>
  <c r="NY71" i="30"/>
  <c r="NX73" i="30"/>
  <c r="NX71" i="30"/>
  <c r="MR73" i="30"/>
  <c r="MR71" i="30"/>
  <c r="MP73" i="30"/>
  <c r="MU68" i="30"/>
  <c r="MT73" i="30"/>
  <c r="NM68" i="30"/>
  <c r="NK73" i="30"/>
  <c r="NK71" i="30"/>
  <c r="NI71" i="30"/>
  <c r="NF71" i="30"/>
  <c r="NL71" i="30"/>
  <c r="NH71" i="30"/>
  <c r="NH73" i="30"/>
  <c r="MC68" i="30"/>
  <c r="MS73" i="30"/>
  <c r="MQ71" i="30"/>
  <c r="MN73" i="30"/>
  <c r="MN71" i="30"/>
  <c r="LC70" i="30"/>
  <c r="KH70" i="30"/>
  <c r="JV12" i="30" l="1"/>
  <c r="IZ54" i="30"/>
  <c r="IZ46" i="30"/>
  <c r="IZ45" i="30"/>
  <c r="IZ30" i="30"/>
  <c r="KI54" i="30" l="1"/>
  <c r="KI67" i="30"/>
  <c r="KI65" i="30"/>
  <c r="KI64" i="30"/>
  <c r="KI63" i="30"/>
  <c r="KI62" i="30"/>
  <c r="KI60" i="30"/>
  <c r="KI59" i="30"/>
  <c r="KI58" i="30"/>
  <c r="KI57" i="30"/>
  <c r="KI56" i="30"/>
  <c r="KI55" i="30"/>
  <c r="KI52" i="30"/>
  <c r="KI51" i="30"/>
  <c r="KI50" i="30"/>
  <c r="KI46" i="30"/>
  <c r="KI45" i="30"/>
  <c r="KI44" i="30"/>
  <c r="KI42" i="30"/>
  <c r="KI41" i="30"/>
  <c r="KI40" i="30"/>
  <c r="KI38" i="30"/>
  <c r="KI37" i="30"/>
  <c r="KI36" i="30"/>
  <c r="KI31" i="30"/>
  <c r="KI34" i="30"/>
  <c r="KI33" i="30"/>
  <c r="KI35" i="30"/>
  <c r="KI30" i="30"/>
  <c r="KI29" i="30"/>
  <c r="KI28" i="30"/>
  <c r="KI27" i="30"/>
  <c r="KI24" i="30"/>
  <c r="KI23" i="30"/>
  <c r="KI22" i="30"/>
  <c r="KI20" i="30"/>
  <c r="KI17" i="30"/>
  <c r="KI16" i="30"/>
  <c r="KI13" i="30"/>
  <c r="KI12" i="30"/>
  <c r="KI11" i="30"/>
  <c r="KI10" i="30"/>
  <c r="KI18" i="30"/>
  <c r="KI9" i="30"/>
  <c r="KI8" i="30"/>
  <c r="KI6" i="30"/>
  <c r="KI5" i="30"/>
  <c r="KG6" i="30"/>
  <c r="KG8" i="30"/>
  <c r="KG9" i="30"/>
  <c r="KG18" i="30"/>
  <c r="KG10" i="30"/>
  <c r="KG11" i="30"/>
  <c r="KG12" i="30"/>
  <c r="KG13" i="30"/>
  <c r="KG16" i="30"/>
  <c r="KG17" i="30"/>
  <c r="KG20" i="30"/>
  <c r="KG22" i="30"/>
  <c r="KG23" i="30"/>
  <c r="KG24" i="30"/>
  <c r="KG27" i="30"/>
  <c r="KG28" i="30"/>
  <c r="KG29" i="30"/>
  <c r="KG30" i="30"/>
  <c r="KG35" i="30"/>
  <c r="KG33" i="30"/>
  <c r="KG34" i="30"/>
  <c r="KG31" i="30"/>
  <c r="KG36" i="30"/>
  <c r="KG37" i="30"/>
  <c r="KG38" i="30"/>
  <c r="KG40" i="30"/>
  <c r="KG41" i="30"/>
  <c r="KG42" i="30"/>
  <c r="KG43" i="30"/>
  <c r="KG44" i="30"/>
  <c r="KG45" i="30"/>
  <c r="KG46" i="30"/>
  <c r="KG50" i="30"/>
  <c r="KG51" i="30"/>
  <c r="KG52" i="30"/>
  <c r="KG54" i="30"/>
  <c r="KG55" i="30"/>
  <c r="KG56" i="30"/>
  <c r="KG57" i="30"/>
  <c r="KG58" i="30"/>
  <c r="KG59" i="30"/>
  <c r="KG60" i="30"/>
  <c r="KG61" i="30"/>
  <c r="KG62" i="30"/>
  <c r="KG63" i="30"/>
  <c r="KG64" i="30"/>
  <c r="KG65" i="30"/>
  <c r="KG67" i="30"/>
  <c r="KG5" i="30"/>
  <c r="JY68" i="30"/>
  <c r="JY71" i="30" s="1"/>
  <c r="LC6" i="30"/>
  <c r="LD6" i="30"/>
  <c r="LE6" i="30"/>
  <c r="LF6" i="30"/>
  <c r="LG6" i="30"/>
  <c r="LH6" i="30"/>
  <c r="LI6" i="30"/>
  <c r="LJ6" i="30"/>
  <c r="LC8" i="30"/>
  <c r="LD8" i="30"/>
  <c r="LE8" i="30"/>
  <c r="LF8" i="30"/>
  <c r="LG8" i="30"/>
  <c r="LH8" i="30"/>
  <c r="LI8" i="30"/>
  <c r="LJ8" i="30"/>
  <c r="LC9" i="30"/>
  <c r="LD9" i="30"/>
  <c r="LE9" i="30"/>
  <c r="LF9" i="30"/>
  <c r="LG9" i="30"/>
  <c r="LH9" i="30"/>
  <c r="LI9" i="30"/>
  <c r="LJ9" i="30"/>
  <c r="LC18" i="30"/>
  <c r="LD18" i="30"/>
  <c r="LE18" i="30"/>
  <c r="LF18" i="30"/>
  <c r="LG18" i="30"/>
  <c r="LH18" i="30"/>
  <c r="LI18" i="30"/>
  <c r="LJ18" i="30"/>
  <c r="LC10" i="30"/>
  <c r="LD10" i="30"/>
  <c r="LE10" i="30"/>
  <c r="LF10" i="30"/>
  <c r="LG10" i="30"/>
  <c r="LH10" i="30"/>
  <c r="LI10" i="30"/>
  <c r="LJ10" i="30"/>
  <c r="LC11" i="30"/>
  <c r="LD11" i="30"/>
  <c r="LE11" i="30"/>
  <c r="LF11" i="30"/>
  <c r="LG11" i="30"/>
  <c r="LH11" i="30"/>
  <c r="LI11" i="30"/>
  <c r="LJ11" i="30"/>
  <c r="LC12" i="30"/>
  <c r="LD12" i="30"/>
  <c r="LE12" i="30"/>
  <c r="LF12" i="30"/>
  <c r="LG12" i="30"/>
  <c r="LH12" i="30"/>
  <c r="LI12" i="30"/>
  <c r="LJ12" i="30"/>
  <c r="LC13" i="30"/>
  <c r="LD13" i="30"/>
  <c r="LE13" i="30"/>
  <c r="LF13" i="30"/>
  <c r="LG13" i="30"/>
  <c r="LH13" i="30"/>
  <c r="LI13" i="30"/>
  <c r="LJ13" i="30"/>
  <c r="LC16" i="30"/>
  <c r="LD16" i="30"/>
  <c r="LE16" i="30"/>
  <c r="LF16" i="30"/>
  <c r="LG16" i="30"/>
  <c r="LH16" i="30"/>
  <c r="LI16" i="30"/>
  <c r="LJ16" i="30"/>
  <c r="LC17" i="30"/>
  <c r="LD17" i="30"/>
  <c r="LE17" i="30"/>
  <c r="LF17" i="30"/>
  <c r="LG17" i="30"/>
  <c r="LH17" i="30"/>
  <c r="LI17" i="30"/>
  <c r="LJ17" i="30"/>
  <c r="LC20" i="30"/>
  <c r="LD20" i="30"/>
  <c r="LE20" i="30"/>
  <c r="LF20" i="30"/>
  <c r="LG20" i="30"/>
  <c r="LH20" i="30"/>
  <c r="LI20" i="30"/>
  <c r="LJ20" i="30"/>
  <c r="LC22" i="30"/>
  <c r="LD22" i="30"/>
  <c r="LE22" i="30"/>
  <c r="LF22" i="30"/>
  <c r="LG22" i="30"/>
  <c r="LH22" i="30"/>
  <c r="LI22" i="30"/>
  <c r="LJ22" i="30"/>
  <c r="LC23" i="30"/>
  <c r="LD23" i="30"/>
  <c r="LE23" i="30"/>
  <c r="LF23" i="30"/>
  <c r="LG23" i="30"/>
  <c r="LH23" i="30"/>
  <c r="LI23" i="30"/>
  <c r="LJ23" i="30"/>
  <c r="LC24" i="30"/>
  <c r="LD24" i="30"/>
  <c r="LE24" i="30"/>
  <c r="LF24" i="30"/>
  <c r="LG24" i="30"/>
  <c r="LH24" i="30"/>
  <c r="LI24" i="30"/>
  <c r="LJ24" i="30"/>
  <c r="LC27" i="30"/>
  <c r="LD27" i="30"/>
  <c r="LE27" i="30"/>
  <c r="LF27" i="30"/>
  <c r="LG27" i="30"/>
  <c r="LH27" i="30"/>
  <c r="LI27" i="30"/>
  <c r="LJ27" i="30"/>
  <c r="LC28" i="30"/>
  <c r="LD28" i="30"/>
  <c r="LE28" i="30"/>
  <c r="LF28" i="30"/>
  <c r="LG28" i="30"/>
  <c r="LH28" i="30"/>
  <c r="LI28" i="30"/>
  <c r="LJ28" i="30"/>
  <c r="LC29" i="30"/>
  <c r="LD29" i="30"/>
  <c r="LE29" i="30"/>
  <c r="LF29" i="30"/>
  <c r="LG29" i="30"/>
  <c r="LH29" i="30"/>
  <c r="LI29" i="30"/>
  <c r="LJ29" i="30"/>
  <c r="LC30" i="30"/>
  <c r="LD30" i="30"/>
  <c r="LE30" i="30"/>
  <c r="LF30" i="30"/>
  <c r="LG30" i="30"/>
  <c r="LH30" i="30"/>
  <c r="LI30" i="30"/>
  <c r="LJ30" i="30"/>
  <c r="LC35" i="30"/>
  <c r="LD35" i="30"/>
  <c r="LE35" i="30"/>
  <c r="LF35" i="30"/>
  <c r="LG35" i="30"/>
  <c r="LH35" i="30"/>
  <c r="LI35" i="30"/>
  <c r="LJ35" i="30"/>
  <c r="LC33" i="30"/>
  <c r="LD33" i="30"/>
  <c r="LE33" i="30"/>
  <c r="LF33" i="30"/>
  <c r="LG33" i="30"/>
  <c r="LH33" i="30"/>
  <c r="LI33" i="30"/>
  <c r="LJ33" i="30"/>
  <c r="LC34" i="30"/>
  <c r="LD34" i="30"/>
  <c r="LE34" i="30"/>
  <c r="LF34" i="30"/>
  <c r="LG34" i="30"/>
  <c r="LH34" i="30"/>
  <c r="LI34" i="30"/>
  <c r="LJ34" i="30"/>
  <c r="LC31" i="30"/>
  <c r="LD31" i="30"/>
  <c r="LE31" i="30"/>
  <c r="LF31" i="30"/>
  <c r="LG31" i="30"/>
  <c r="LH31" i="30"/>
  <c r="LI31" i="30"/>
  <c r="LJ31" i="30"/>
  <c r="LC36" i="30"/>
  <c r="LD36" i="30"/>
  <c r="LE36" i="30"/>
  <c r="LF36" i="30"/>
  <c r="LG36" i="30"/>
  <c r="LH36" i="30"/>
  <c r="LI36" i="30"/>
  <c r="LJ36" i="30"/>
  <c r="LC37" i="30"/>
  <c r="LD37" i="30"/>
  <c r="LE37" i="30"/>
  <c r="LF37" i="30"/>
  <c r="LG37" i="30"/>
  <c r="LH37" i="30"/>
  <c r="LI37" i="30"/>
  <c r="LJ37" i="30"/>
  <c r="LC38" i="30"/>
  <c r="LD38" i="30"/>
  <c r="LE38" i="30"/>
  <c r="LF38" i="30"/>
  <c r="LG38" i="30"/>
  <c r="LH38" i="30"/>
  <c r="LI38" i="30"/>
  <c r="LJ38" i="30"/>
  <c r="LC40" i="30"/>
  <c r="LD40" i="30"/>
  <c r="LE40" i="30"/>
  <c r="LF40" i="30"/>
  <c r="LG40" i="30"/>
  <c r="LH40" i="30"/>
  <c r="LI40" i="30"/>
  <c r="LJ40" i="30"/>
  <c r="LC41" i="30"/>
  <c r="LD41" i="30"/>
  <c r="LE41" i="30"/>
  <c r="LF41" i="30"/>
  <c r="LG41" i="30"/>
  <c r="LH41" i="30"/>
  <c r="LI41" i="30"/>
  <c r="LJ41" i="30"/>
  <c r="LC42" i="30"/>
  <c r="LD42" i="30"/>
  <c r="LE42" i="30"/>
  <c r="LF42" i="30"/>
  <c r="LG42" i="30"/>
  <c r="LH42" i="30"/>
  <c r="LI42" i="30"/>
  <c r="LJ42" i="30"/>
  <c r="LC44" i="30"/>
  <c r="LD44" i="30"/>
  <c r="LE44" i="30"/>
  <c r="LF44" i="30"/>
  <c r="LG44" i="30"/>
  <c r="LH44" i="30"/>
  <c r="LI44" i="30"/>
  <c r="LJ44" i="30"/>
  <c r="LC45" i="30"/>
  <c r="LD45" i="30"/>
  <c r="LE45" i="30"/>
  <c r="LF45" i="30"/>
  <c r="LG45" i="30"/>
  <c r="LH45" i="30"/>
  <c r="LI45" i="30"/>
  <c r="LJ45" i="30"/>
  <c r="LC46" i="30"/>
  <c r="LD46" i="30"/>
  <c r="LE46" i="30"/>
  <c r="LF46" i="30"/>
  <c r="LG46" i="30"/>
  <c r="LH46" i="30"/>
  <c r="LI46" i="30"/>
  <c r="LJ46" i="30"/>
  <c r="LC50" i="30"/>
  <c r="LD50" i="30"/>
  <c r="LE50" i="30"/>
  <c r="LF50" i="30"/>
  <c r="LG50" i="30"/>
  <c r="LH50" i="30"/>
  <c r="LI50" i="30"/>
  <c r="LJ50" i="30"/>
  <c r="LC51" i="30"/>
  <c r="LD51" i="30"/>
  <c r="LE51" i="30"/>
  <c r="LF51" i="30"/>
  <c r="LG51" i="30"/>
  <c r="LH51" i="30"/>
  <c r="LI51" i="30"/>
  <c r="LJ51" i="30"/>
  <c r="LC52" i="30"/>
  <c r="LD52" i="30"/>
  <c r="LE52" i="30"/>
  <c r="LF52" i="30"/>
  <c r="LG52" i="30"/>
  <c r="LH52" i="30"/>
  <c r="LI52" i="30"/>
  <c r="LJ52" i="30"/>
  <c r="LC54" i="30"/>
  <c r="LD54" i="30"/>
  <c r="LE54" i="30"/>
  <c r="LF54" i="30"/>
  <c r="LG54" i="30"/>
  <c r="LH54" i="30"/>
  <c r="LI54" i="30"/>
  <c r="LJ54" i="30"/>
  <c r="LC55" i="30"/>
  <c r="LD55" i="30"/>
  <c r="LE55" i="30"/>
  <c r="LF55" i="30"/>
  <c r="LG55" i="30"/>
  <c r="LH55" i="30"/>
  <c r="LI55" i="30"/>
  <c r="LJ55" i="30"/>
  <c r="LC56" i="30"/>
  <c r="LD56" i="30"/>
  <c r="LE56" i="30"/>
  <c r="LF56" i="30"/>
  <c r="LG56" i="30"/>
  <c r="LH56" i="30"/>
  <c r="LI56" i="30"/>
  <c r="LJ56" i="30"/>
  <c r="LC57" i="30"/>
  <c r="LD57" i="30"/>
  <c r="LE57" i="30"/>
  <c r="LF57" i="30"/>
  <c r="LG57" i="30"/>
  <c r="LH57" i="30"/>
  <c r="LI57" i="30"/>
  <c r="LJ57" i="30"/>
  <c r="LC58" i="30"/>
  <c r="LD58" i="30"/>
  <c r="LE58" i="30"/>
  <c r="LF58" i="30"/>
  <c r="LG58" i="30"/>
  <c r="LH58" i="30"/>
  <c r="LI58" i="30"/>
  <c r="LJ58" i="30"/>
  <c r="LC59" i="30"/>
  <c r="LD59" i="30"/>
  <c r="LE59" i="30"/>
  <c r="LF59" i="30"/>
  <c r="LG59" i="30"/>
  <c r="LH59" i="30"/>
  <c r="LI59" i="30"/>
  <c r="LJ59" i="30"/>
  <c r="LC60" i="30"/>
  <c r="LD60" i="30"/>
  <c r="LE60" i="30"/>
  <c r="LF60" i="30"/>
  <c r="LG60" i="30"/>
  <c r="LH60" i="30"/>
  <c r="LI60" i="30"/>
  <c r="LJ60" i="30"/>
  <c r="LC62" i="30"/>
  <c r="LD62" i="30"/>
  <c r="LE62" i="30"/>
  <c r="LF62" i="30"/>
  <c r="LG62" i="30"/>
  <c r="LH62" i="30"/>
  <c r="LI62" i="30"/>
  <c r="LJ62" i="30"/>
  <c r="LC63" i="30"/>
  <c r="LD63" i="30"/>
  <c r="LE63" i="30"/>
  <c r="LF63" i="30"/>
  <c r="LG63" i="30"/>
  <c r="LH63" i="30"/>
  <c r="LI63" i="30"/>
  <c r="LJ63" i="30"/>
  <c r="LC64" i="30"/>
  <c r="LD64" i="30"/>
  <c r="LE64" i="30"/>
  <c r="LF64" i="30"/>
  <c r="LG64" i="30"/>
  <c r="LH64" i="30"/>
  <c r="LI64" i="30"/>
  <c r="LJ64" i="30"/>
  <c r="LC65" i="30"/>
  <c r="LD65" i="30"/>
  <c r="LE65" i="30"/>
  <c r="LF65" i="30"/>
  <c r="LG65" i="30"/>
  <c r="LH65" i="30"/>
  <c r="LI65" i="30"/>
  <c r="LJ65" i="30"/>
  <c r="LC67" i="30"/>
  <c r="LD67" i="30"/>
  <c r="LE67" i="30"/>
  <c r="LF67" i="30"/>
  <c r="LG67" i="30"/>
  <c r="LH67" i="30"/>
  <c r="LI67" i="30"/>
  <c r="LJ67" i="30"/>
  <c r="LD5" i="30"/>
  <c r="LE5" i="30"/>
  <c r="LF5" i="30"/>
  <c r="LG5" i="30"/>
  <c r="LH5" i="30"/>
  <c r="LI5" i="30"/>
  <c r="LJ5" i="30"/>
  <c r="LC5" i="30"/>
  <c r="LB5" i="30"/>
  <c r="KS70" i="30"/>
  <c r="LA68" i="30"/>
  <c r="LA71" i="30" s="1"/>
  <c r="KZ68" i="30"/>
  <c r="KZ71" i="30" s="1"/>
  <c r="KY68" i="30"/>
  <c r="KY71" i="30" s="1"/>
  <c r="KX68" i="30"/>
  <c r="KX71" i="30" s="1"/>
  <c r="KW68" i="30"/>
  <c r="KW71" i="30" s="1"/>
  <c r="KV68" i="30"/>
  <c r="KV71" i="30" s="1"/>
  <c r="KU68" i="30"/>
  <c r="KU71" i="30" s="1"/>
  <c r="KT68" i="30"/>
  <c r="KT71" i="30" s="1"/>
  <c r="LB67" i="30"/>
  <c r="LB65" i="30"/>
  <c r="LB64" i="30"/>
  <c r="LB63" i="30"/>
  <c r="LB62" i="30"/>
  <c r="LB61" i="30"/>
  <c r="KR61" i="30"/>
  <c r="LC61" i="30" s="1"/>
  <c r="LB60" i="30"/>
  <c r="LB59" i="30"/>
  <c r="LB58" i="30"/>
  <c r="LB57" i="30"/>
  <c r="LB56" i="30"/>
  <c r="LB55" i="30"/>
  <c r="LB54" i="30"/>
  <c r="LB52" i="30"/>
  <c r="LB51" i="30"/>
  <c r="LB50" i="30"/>
  <c r="LB46" i="30"/>
  <c r="LB45" i="30"/>
  <c r="LB44" i="30"/>
  <c r="LB43" i="30"/>
  <c r="KR43" i="30"/>
  <c r="LB42" i="30"/>
  <c r="LB41" i="30"/>
  <c r="LB40" i="30"/>
  <c r="LB38" i="30"/>
  <c r="LB37" i="30"/>
  <c r="LB36" i="30"/>
  <c r="LB31" i="30"/>
  <c r="LB34" i="30"/>
  <c r="LB33" i="30"/>
  <c r="LB35" i="30"/>
  <c r="LB30" i="30"/>
  <c r="LB29" i="30"/>
  <c r="LB28" i="30"/>
  <c r="LB27" i="30"/>
  <c r="LB24" i="30"/>
  <c r="LB23" i="30"/>
  <c r="LB22" i="30"/>
  <c r="LB20" i="30"/>
  <c r="LB17" i="30"/>
  <c r="LB16" i="30"/>
  <c r="LB13" i="30"/>
  <c r="LB12" i="30"/>
  <c r="LB11" i="30"/>
  <c r="LB10" i="30"/>
  <c r="LB18" i="30"/>
  <c r="LB9" i="30"/>
  <c r="LB8" i="30"/>
  <c r="LB6" i="30"/>
  <c r="KR68" i="30" l="1"/>
  <c r="LK45" i="30"/>
  <c r="LJ61" i="30"/>
  <c r="LE61" i="30"/>
  <c r="LI61" i="30"/>
  <c r="LK52" i="30"/>
  <c r="LK50" i="30"/>
  <c r="LF61" i="30"/>
  <c r="LJ43" i="30"/>
  <c r="LF43" i="30"/>
  <c r="LK67" i="30"/>
  <c r="LK64" i="30"/>
  <c r="LK62" i="30"/>
  <c r="LG61" i="30"/>
  <c r="LG43" i="30"/>
  <c r="LC43" i="30"/>
  <c r="LC68" i="30" s="1"/>
  <c r="LK65" i="30"/>
  <c r="LK63" i="30"/>
  <c r="LK59" i="30"/>
  <c r="LK57" i="30"/>
  <c r="LK55" i="30"/>
  <c r="LI43" i="30"/>
  <c r="LE43" i="30"/>
  <c r="LK38" i="30"/>
  <c r="LK34" i="30"/>
  <c r="LK35" i="30"/>
  <c r="LK29" i="30"/>
  <c r="LK27" i="30"/>
  <c r="LK23" i="30"/>
  <c r="LK20" i="30"/>
  <c r="LK16" i="30"/>
  <c r="LK12" i="30"/>
  <c r="LK10" i="30"/>
  <c r="LK9" i="30"/>
  <c r="LH61" i="30"/>
  <c r="LD61" i="30"/>
  <c r="LK60" i="30"/>
  <c r="LK51" i="30"/>
  <c r="LK44" i="30"/>
  <c r="LH43" i="30"/>
  <c r="LD43" i="30"/>
  <c r="LK42" i="30"/>
  <c r="LK40" i="30"/>
  <c r="LK37" i="30"/>
  <c r="LK33" i="30"/>
  <c r="LK24" i="30"/>
  <c r="LK22" i="30"/>
  <c r="LK17" i="30"/>
  <c r="LK13" i="30"/>
  <c r="LK11" i="30"/>
  <c r="LK8" i="30"/>
  <c r="LK54" i="30"/>
  <c r="LK46" i="30"/>
  <c r="LK41" i="30"/>
  <c r="LK30" i="30"/>
  <c r="LK28" i="30"/>
  <c r="LK18" i="30"/>
  <c r="LK31" i="30"/>
  <c r="LK56" i="30"/>
  <c r="KS71" i="30"/>
  <c r="LK58" i="30"/>
  <c r="LK36" i="30"/>
  <c r="LB68" i="30"/>
  <c r="LK5" i="30"/>
  <c r="LK6" i="30"/>
  <c r="JM73" i="30"/>
  <c r="JL73" i="30"/>
  <c r="LE68" i="30" l="1"/>
  <c r="LE73" i="30" s="1"/>
  <c r="LK61" i="30"/>
  <c r="LI68" i="30"/>
  <c r="LI71" i="30" s="1"/>
  <c r="LG68" i="30"/>
  <c r="LG71" i="30" s="1"/>
  <c r="LF68" i="30"/>
  <c r="LF71" i="30" s="1"/>
  <c r="LD68" i="30"/>
  <c r="LD73" i="30" s="1"/>
  <c r="LJ68" i="30"/>
  <c r="LJ73" i="30" s="1"/>
  <c r="MA68" i="30"/>
  <c r="MA71" i="30" s="1"/>
  <c r="LW68" i="30"/>
  <c r="LW71" i="30" s="1"/>
  <c r="LH68" i="30"/>
  <c r="LH71" i="30" s="1"/>
  <c r="LX68" i="30"/>
  <c r="LX71" i="30" s="1"/>
  <c r="LY68" i="30"/>
  <c r="LV68" i="30"/>
  <c r="LZ68" i="30"/>
  <c r="LK43" i="30"/>
  <c r="MB68" i="30"/>
  <c r="LE71" i="30"/>
  <c r="KI73" i="30"/>
  <c r="KR70" i="30"/>
  <c r="KR71" i="30" s="1"/>
  <c r="LC73" i="30"/>
  <c r="LC71" i="30"/>
  <c r="LI73" i="30" l="1"/>
  <c r="LJ71" i="30"/>
  <c r="MA73" i="30"/>
  <c r="LD71" i="30"/>
  <c r="LK68" i="30"/>
  <c r="LG73" i="30"/>
  <c r="LF73" i="30"/>
  <c r="LX73" i="30"/>
  <c r="LW73" i="30"/>
  <c r="LH73" i="30"/>
  <c r="LZ71" i="30"/>
  <c r="LZ73" i="30"/>
  <c r="MB73" i="30"/>
  <c r="MB71" i="30"/>
  <c r="LY73" i="30"/>
  <c r="LY71" i="30"/>
  <c r="LV73" i="30"/>
  <c r="LV71" i="30"/>
  <c r="IE62" i="30"/>
  <c r="KH6" i="30"/>
  <c r="KJ6" i="30"/>
  <c r="KK6" i="30"/>
  <c r="KL6" i="30"/>
  <c r="KM6" i="30"/>
  <c r="KN6" i="30"/>
  <c r="KO6" i="30"/>
  <c r="KP6" i="30"/>
  <c r="KH8" i="30"/>
  <c r="KJ8" i="30"/>
  <c r="KK8" i="30"/>
  <c r="KL8" i="30"/>
  <c r="KM8" i="30"/>
  <c r="KN8" i="30"/>
  <c r="KO8" i="30"/>
  <c r="KP8" i="30"/>
  <c r="KH9" i="30"/>
  <c r="KJ9" i="30"/>
  <c r="KK9" i="30"/>
  <c r="KL9" i="30"/>
  <c r="KM9" i="30"/>
  <c r="KN9" i="30"/>
  <c r="KO9" i="30"/>
  <c r="KP9" i="30"/>
  <c r="KH18" i="30"/>
  <c r="KJ18" i="30"/>
  <c r="KK18" i="30"/>
  <c r="KL18" i="30"/>
  <c r="KM18" i="30"/>
  <c r="KN18" i="30"/>
  <c r="KO18" i="30"/>
  <c r="KP18" i="30"/>
  <c r="KH10" i="30"/>
  <c r="KJ10" i="30"/>
  <c r="KK10" i="30"/>
  <c r="KL10" i="30"/>
  <c r="KM10" i="30"/>
  <c r="KN10" i="30"/>
  <c r="KO10" i="30"/>
  <c r="KP10" i="30"/>
  <c r="KH11" i="30"/>
  <c r="KJ11" i="30"/>
  <c r="KK11" i="30"/>
  <c r="KL11" i="30"/>
  <c r="KM11" i="30"/>
  <c r="KN11" i="30"/>
  <c r="KO11" i="30"/>
  <c r="KP11" i="30"/>
  <c r="KH12" i="30"/>
  <c r="KJ12" i="30"/>
  <c r="KK12" i="30"/>
  <c r="KL12" i="30"/>
  <c r="KM12" i="30"/>
  <c r="KN12" i="30"/>
  <c r="KO12" i="30"/>
  <c r="KP12" i="30"/>
  <c r="KH13" i="30"/>
  <c r="KJ13" i="30"/>
  <c r="KK13" i="30"/>
  <c r="KL13" i="30"/>
  <c r="KM13" i="30"/>
  <c r="KN13" i="30"/>
  <c r="KO13" i="30"/>
  <c r="KP13" i="30"/>
  <c r="KH16" i="30"/>
  <c r="KJ16" i="30"/>
  <c r="KK16" i="30"/>
  <c r="KL16" i="30"/>
  <c r="KM16" i="30"/>
  <c r="KN16" i="30"/>
  <c r="KO16" i="30"/>
  <c r="KP16" i="30"/>
  <c r="KH17" i="30"/>
  <c r="KJ17" i="30"/>
  <c r="KK17" i="30"/>
  <c r="KL17" i="30"/>
  <c r="KM17" i="30"/>
  <c r="KN17" i="30"/>
  <c r="KO17" i="30"/>
  <c r="KP17" i="30"/>
  <c r="KH20" i="30"/>
  <c r="KJ20" i="30"/>
  <c r="KK20" i="30"/>
  <c r="KL20" i="30"/>
  <c r="KM20" i="30"/>
  <c r="KN20" i="30"/>
  <c r="KO20" i="30"/>
  <c r="KP20" i="30"/>
  <c r="KH22" i="30"/>
  <c r="KJ22" i="30"/>
  <c r="KK22" i="30"/>
  <c r="KL22" i="30"/>
  <c r="KM22" i="30"/>
  <c r="KN22" i="30"/>
  <c r="KO22" i="30"/>
  <c r="KP22" i="30"/>
  <c r="KH23" i="30"/>
  <c r="KJ23" i="30"/>
  <c r="KK23" i="30"/>
  <c r="KL23" i="30"/>
  <c r="KM23" i="30"/>
  <c r="KN23" i="30"/>
  <c r="KO23" i="30"/>
  <c r="KP23" i="30"/>
  <c r="KH24" i="30"/>
  <c r="KJ24" i="30"/>
  <c r="KK24" i="30"/>
  <c r="KL24" i="30"/>
  <c r="KM24" i="30"/>
  <c r="KN24" i="30"/>
  <c r="KO24" i="30"/>
  <c r="KP24" i="30"/>
  <c r="KH27" i="30"/>
  <c r="KJ27" i="30"/>
  <c r="KK27" i="30"/>
  <c r="KL27" i="30"/>
  <c r="KM27" i="30"/>
  <c r="KN27" i="30"/>
  <c r="KO27" i="30"/>
  <c r="KP27" i="30"/>
  <c r="KH28" i="30"/>
  <c r="KJ28" i="30"/>
  <c r="KK28" i="30"/>
  <c r="KL28" i="30"/>
  <c r="KM28" i="30"/>
  <c r="KN28" i="30"/>
  <c r="KO28" i="30"/>
  <c r="KP28" i="30"/>
  <c r="KH29" i="30"/>
  <c r="KJ29" i="30"/>
  <c r="KK29" i="30"/>
  <c r="KL29" i="30"/>
  <c r="KM29" i="30"/>
  <c r="KN29" i="30"/>
  <c r="KO29" i="30"/>
  <c r="KP29" i="30"/>
  <c r="KH30" i="30"/>
  <c r="KJ30" i="30"/>
  <c r="KK30" i="30"/>
  <c r="KL30" i="30"/>
  <c r="KM30" i="30"/>
  <c r="KN30" i="30"/>
  <c r="KO30" i="30"/>
  <c r="KP30" i="30"/>
  <c r="KH35" i="30"/>
  <c r="KJ35" i="30"/>
  <c r="KK35" i="30"/>
  <c r="KL35" i="30"/>
  <c r="KM35" i="30"/>
  <c r="KN35" i="30"/>
  <c r="KO35" i="30"/>
  <c r="KP35" i="30"/>
  <c r="KH33" i="30"/>
  <c r="KJ33" i="30"/>
  <c r="KK33" i="30"/>
  <c r="KL33" i="30"/>
  <c r="KM33" i="30"/>
  <c r="KN33" i="30"/>
  <c r="KO33" i="30"/>
  <c r="KP33" i="30"/>
  <c r="KH34" i="30"/>
  <c r="KJ34" i="30"/>
  <c r="KK34" i="30"/>
  <c r="KL34" i="30"/>
  <c r="KM34" i="30"/>
  <c r="KN34" i="30"/>
  <c r="KO34" i="30"/>
  <c r="KP34" i="30"/>
  <c r="KH31" i="30"/>
  <c r="KJ31" i="30"/>
  <c r="KK31" i="30"/>
  <c r="KL31" i="30"/>
  <c r="KM31" i="30"/>
  <c r="KN31" i="30"/>
  <c r="KO31" i="30"/>
  <c r="KP31" i="30"/>
  <c r="KH36" i="30"/>
  <c r="KJ36" i="30"/>
  <c r="KK36" i="30"/>
  <c r="KL36" i="30"/>
  <c r="KM36" i="30"/>
  <c r="KN36" i="30"/>
  <c r="KO36" i="30"/>
  <c r="KP36" i="30"/>
  <c r="KH37" i="30"/>
  <c r="KJ37" i="30"/>
  <c r="KK37" i="30"/>
  <c r="KL37" i="30"/>
  <c r="KM37" i="30"/>
  <c r="KN37" i="30"/>
  <c r="KO37" i="30"/>
  <c r="KP37" i="30"/>
  <c r="KH38" i="30"/>
  <c r="KJ38" i="30"/>
  <c r="KK38" i="30"/>
  <c r="KL38" i="30"/>
  <c r="KM38" i="30"/>
  <c r="KN38" i="30"/>
  <c r="KO38" i="30"/>
  <c r="KP38" i="30"/>
  <c r="KH40" i="30"/>
  <c r="KJ40" i="30"/>
  <c r="KK40" i="30"/>
  <c r="KL40" i="30"/>
  <c r="KM40" i="30"/>
  <c r="KN40" i="30"/>
  <c r="KO40" i="30"/>
  <c r="KP40" i="30"/>
  <c r="KH41" i="30"/>
  <c r="KJ41" i="30"/>
  <c r="KK41" i="30"/>
  <c r="KL41" i="30"/>
  <c r="KM41" i="30"/>
  <c r="KN41" i="30"/>
  <c r="KO41" i="30"/>
  <c r="KP41" i="30"/>
  <c r="KH42" i="30"/>
  <c r="KJ42" i="30"/>
  <c r="KK42" i="30"/>
  <c r="KL42" i="30"/>
  <c r="KM42" i="30"/>
  <c r="KN42" i="30"/>
  <c r="KO42" i="30"/>
  <c r="KP42" i="30"/>
  <c r="KH44" i="30"/>
  <c r="KJ44" i="30"/>
  <c r="KK44" i="30"/>
  <c r="KL44" i="30"/>
  <c r="KM44" i="30"/>
  <c r="KN44" i="30"/>
  <c r="KO44" i="30"/>
  <c r="KP44" i="30"/>
  <c r="KH45" i="30"/>
  <c r="KJ45" i="30"/>
  <c r="KK45" i="30"/>
  <c r="KL45" i="30"/>
  <c r="KM45" i="30"/>
  <c r="KN45" i="30"/>
  <c r="KO45" i="30"/>
  <c r="KP45" i="30"/>
  <c r="KH46" i="30"/>
  <c r="KJ46" i="30"/>
  <c r="KK46" i="30"/>
  <c r="KL46" i="30"/>
  <c r="KM46" i="30"/>
  <c r="KN46" i="30"/>
  <c r="KO46" i="30"/>
  <c r="KP46" i="30"/>
  <c r="KH50" i="30"/>
  <c r="KJ50" i="30"/>
  <c r="KK50" i="30"/>
  <c r="KL50" i="30"/>
  <c r="KM50" i="30"/>
  <c r="KN50" i="30"/>
  <c r="KO50" i="30"/>
  <c r="KP50" i="30"/>
  <c r="KH51" i="30"/>
  <c r="KJ51" i="30"/>
  <c r="KK51" i="30"/>
  <c r="KL51" i="30"/>
  <c r="KM51" i="30"/>
  <c r="KN51" i="30"/>
  <c r="KO51" i="30"/>
  <c r="KP51" i="30"/>
  <c r="KH52" i="30"/>
  <c r="KJ52" i="30"/>
  <c r="KK52" i="30"/>
  <c r="KL52" i="30"/>
  <c r="KM52" i="30"/>
  <c r="KN52" i="30"/>
  <c r="KO52" i="30"/>
  <c r="KP52" i="30"/>
  <c r="KH54" i="30"/>
  <c r="KJ54" i="30"/>
  <c r="KK54" i="30"/>
  <c r="KL54" i="30"/>
  <c r="KM54" i="30"/>
  <c r="KN54" i="30"/>
  <c r="KO54" i="30"/>
  <c r="KP54" i="30"/>
  <c r="KH55" i="30"/>
  <c r="KJ55" i="30"/>
  <c r="KK55" i="30"/>
  <c r="KL55" i="30"/>
  <c r="KM55" i="30"/>
  <c r="KN55" i="30"/>
  <c r="KO55" i="30"/>
  <c r="KP55" i="30"/>
  <c r="KH56" i="30"/>
  <c r="KJ56" i="30"/>
  <c r="KK56" i="30"/>
  <c r="KL56" i="30"/>
  <c r="KM56" i="30"/>
  <c r="KN56" i="30"/>
  <c r="KO56" i="30"/>
  <c r="KP56" i="30"/>
  <c r="KH57" i="30"/>
  <c r="KJ57" i="30"/>
  <c r="KK57" i="30"/>
  <c r="KL57" i="30"/>
  <c r="KM57" i="30"/>
  <c r="KN57" i="30"/>
  <c r="KO57" i="30"/>
  <c r="KP57" i="30"/>
  <c r="KH58" i="30"/>
  <c r="KJ58" i="30"/>
  <c r="KK58" i="30"/>
  <c r="KL58" i="30"/>
  <c r="KM58" i="30"/>
  <c r="KN58" i="30"/>
  <c r="KO58" i="30"/>
  <c r="KP58" i="30"/>
  <c r="KH59" i="30"/>
  <c r="KJ59" i="30"/>
  <c r="KK59" i="30"/>
  <c r="KL59" i="30"/>
  <c r="KM59" i="30"/>
  <c r="KN59" i="30"/>
  <c r="KO59" i="30"/>
  <c r="KP59" i="30"/>
  <c r="KH60" i="30"/>
  <c r="KJ60" i="30"/>
  <c r="KK60" i="30"/>
  <c r="KL60" i="30"/>
  <c r="KM60" i="30"/>
  <c r="KN60" i="30"/>
  <c r="KO60" i="30"/>
  <c r="KP60" i="30"/>
  <c r="KH62" i="30"/>
  <c r="KJ62" i="30"/>
  <c r="KK62" i="30"/>
  <c r="KL62" i="30"/>
  <c r="KM62" i="30"/>
  <c r="KN62" i="30"/>
  <c r="KO62" i="30"/>
  <c r="KP62" i="30"/>
  <c r="KH63" i="30"/>
  <c r="KJ63" i="30"/>
  <c r="KK63" i="30"/>
  <c r="KL63" i="30"/>
  <c r="KM63" i="30"/>
  <c r="KN63" i="30"/>
  <c r="KO63" i="30"/>
  <c r="KP63" i="30"/>
  <c r="KH64" i="30"/>
  <c r="KJ64" i="30"/>
  <c r="KK64" i="30"/>
  <c r="KL64" i="30"/>
  <c r="KM64" i="30"/>
  <c r="KN64" i="30"/>
  <c r="KO64" i="30"/>
  <c r="KP64" i="30"/>
  <c r="KH65" i="30"/>
  <c r="KJ65" i="30"/>
  <c r="KK65" i="30"/>
  <c r="KL65" i="30"/>
  <c r="KM65" i="30"/>
  <c r="KN65" i="30"/>
  <c r="KO65" i="30"/>
  <c r="KP65" i="30"/>
  <c r="KH67" i="30"/>
  <c r="KJ67" i="30"/>
  <c r="KK67" i="30"/>
  <c r="KL67" i="30"/>
  <c r="KM67" i="30"/>
  <c r="KN67" i="30"/>
  <c r="KO67" i="30"/>
  <c r="KP67" i="30"/>
  <c r="KJ5" i="30"/>
  <c r="KK5" i="30"/>
  <c r="KL5" i="30"/>
  <c r="KM5" i="30"/>
  <c r="KN5" i="30"/>
  <c r="KO5" i="30"/>
  <c r="KP5" i="30"/>
  <c r="KH5" i="30"/>
  <c r="JW70" i="30"/>
  <c r="KF68" i="30"/>
  <c r="KF71" i="30" s="1"/>
  <c r="KE68" i="30"/>
  <c r="KE71" i="30" s="1"/>
  <c r="KD68" i="30"/>
  <c r="KD71" i="30" s="1"/>
  <c r="KC68" i="30"/>
  <c r="KC71" i="30" s="1"/>
  <c r="KB68" i="30"/>
  <c r="KB71" i="30" s="1"/>
  <c r="KA68" i="30"/>
  <c r="KA71" i="30" s="1"/>
  <c r="JZ68" i="30"/>
  <c r="JZ71" i="30" s="1"/>
  <c r="JX68" i="30"/>
  <c r="JX71" i="30" s="1"/>
  <c r="JW68" i="30"/>
  <c r="JV61" i="30"/>
  <c r="KJ61" i="30" s="1"/>
  <c r="JV43" i="30"/>
  <c r="KJ43" i="30" s="1"/>
  <c r="KH43" i="30" l="1"/>
  <c r="KQ41" i="30"/>
  <c r="KQ33" i="30"/>
  <c r="KQ30" i="30"/>
  <c r="KQ37" i="30"/>
  <c r="KQ31" i="30"/>
  <c r="KQ28" i="30"/>
  <c r="KQ24" i="30"/>
  <c r="KQ16" i="30"/>
  <c r="KQ8" i="30"/>
  <c r="KQ22" i="30"/>
  <c r="KQ12" i="30"/>
  <c r="KQ18" i="30"/>
  <c r="KL61" i="30"/>
  <c r="KQ67" i="30"/>
  <c r="KQ64" i="30"/>
  <c r="KH61" i="30"/>
  <c r="KQ56" i="30"/>
  <c r="KQ51" i="30"/>
  <c r="KQ46" i="30"/>
  <c r="KP61" i="30"/>
  <c r="KM43" i="30"/>
  <c r="KM61" i="30"/>
  <c r="KQ62" i="30"/>
  <c r="KQ58" i="30"/>
  <c r="KQ54" i="30"/>
  <c r="KQ44" i="30"/>
  <c r="KQ60" i="30"/>
  <c r="KQ59" i="30"/>
  <c r="KQ57" i="30"/>
  <c r="KQ52" i="30"/>
  <c r="KQ50" i="30"/>
  <c r="KQ42" i="30"/>
  <c r="KQ35" i="30"/>
  <c r="KQ27" i="30"/>
  <c r="KQ23" i="30"/>
  <c r="KQ20" i="30"/>
  <c r="KQ17" i="30"/>
  <c r="KQ11" i="30"/>
  <c r="KQ10" i="30"/>
  <c r="KQ6" i="30"/>
  <c r="KQ5" i="30"/>
  <c r="KP43" i="30"/>
  <c r="KL43" i="30"/>
  <c r="KN61" i="30"/>
  <c r="KN43" i="30"/>
  <c r="KQ65" i="30"/>
  <c r="KQ63" i="30"/>
  <c r="KQ55" i="30"/>
  <c r="KQ45" i="30"/>
  <c r="KQ40" i="30"/>
  <c r="KQ38" i="30"/>
  <c r="KQ36" i="30"/>
  <c r="KQ34" i="30"/>
  <c r="KQ29" i="30"/>
  <c r="KQ13" i="30"/>
  <c r="KQ9" i="30"/>
  <c r="JV68" i="30"/>
  <c r="KI43" i="30"/>
  <c r="KI61" i="30"/>
  <c r="KO61" i="30"/>
  <c r="KK61" i="30"/>
  <c r="KO43" i="30"/>
  <c r="KK43" i="30"/>
  <c r="JW71" i="30"/>
  <c r="KG68" i="30"/>
  <c r="JM8" i="30"/>
  <c r="JM9" i="30"/>
  <c r="JM18" i="30"/>
  <c r="JM10" i="30"/>
  <c r="JM11" i="30"/>
  <c r="JM12" i="30"/>
  <c r="JM13" i="30"/>
  <c r="JM16" i="30"/>
  <c r="JM17" i="30"/>
  <c r="JM20" i="30"/>
  <c r="JM22" i="30"/>
  <c r="JM23" i="30"/>
  <c r="JM24" i="30"/>
  <c r="JM27" i="30"/>
  <c r="JM28" i="30"/>
  <c r="JM29" i="30"/>
  <c r="JM30" i="30"/>
  <c r="JM35" i="30"/>
  <c r="JU35" i="30" s="1"/>
  <c r="JM33" i="30"/>
  <c r="JM34" i="30"/>
  <c r="JM31" i="30"/>
  <c r="JM36" i="30"/>
  <c r="JM37" i="30"/>
  <c r="JM38" i="30"/>
  <c r="JM40" i="30"/>
  <c r="JM41" i="30"/>
  <c r="JM42" i="30"/>
  <c r="JM44" i="30"/>
  <c r="JM45" i="30"/>
  <c r="JM46" i="30"/>
  <c r="JM50" i="30"/>
  <c r="JM51" i="30"/>
  <c r="JM52" i="30"/>
  <c r="JM55" i="30"/>
  <c r="JM56" i="30"/>
  <c r="JM57" i="30"/>
  <c r="JM58" i="30"/>
  <c r="JM59" i="30"/>
  <c r="JM60" i="30"/>
  <c r="JM62" i="30"/>
  <c r="JM63" i="30"/>
  <c r="JM64" i="30"/>
  <c r="JM65" i="30"/>
  <c r="JM67" i="30"/>
  <c r="JM6" i="30"/>
  <c r="JM5" i="30"/>
  <c r="JA68" i="30"/>
  <c r="IE13" i="30"/>
  <c r="FZ70" i="30"/>
  <c r="GJ8" i="30"/>
  <c r="GJ9" i="30"/>
  <c r="GJ18" i="30"/>
  <c r="GJ10" i="30"/>
  <c r="GJ11" i="30"/>
  <c r="GJ12" i="30"/>
  <c r="GJ13" i="30"/>
  <c r="GJ16" i="30"/>
  <c r="GJ17" i="30"/>
  <c r="GJ22" i="30"/>
  <c r="GJ24" i="30"/>
  <c r="GJ28" i="30"/>
  <c r="GJ29" i="30"/>
  <c r="GJ30" i="30"/>
  <c r="GJ35" i="30"/>
  <c r="GJ33" i="30"/>
  <c r="GJ34" i="30"/>
  <c r="GJ31" i="30"/>
  <c r="GJ38" i="30"/>
  <c r="GJ40" i="30"/>
  <c r="GJ42" i="30"/>
  <c r="GJ44" i="30"/>
  <c r="GJ46" i="30"/>
  <c r="GJ52" i="30"/>
  <c r="GJ54" i="30"/>
  <c r="GJ55" i="30"/>
  <c r="GJ57" i="30"/>
  <c r="GJ58" i="30"/>
  <c r="GJ59" i="30"/>
  <c r="GJ60" i="30"/>
  <c r="GJ63" i="30"/>
  <c r="GJ64" i="30"/>
  <c r="GJ65" i="30"/>
  <c r="GJ67" i="30"/>
  <c r="GJ6" i="30"/>
  <c r="GJ5" i="30"/>
  <c r="KP68" i="30" l="1"/>
  <c r="KP71" i="30" s="1"/>
  <c r="KH68" i="30"/>
  <c r="KH71" i="30" s="1"/>
  <c r="IR13" i="30"/>
  <c r="IV13" i="30"/>
  <c r="IT13" i="30"/>
  <c r="IS13" i="30"/>
  <c r="IW13" i="30"/>
  <c r="IP13" i="30"/>
  <c r="IX13" i="30"/>
  <c r="IQ13" i="30"/>
  <c r="IU13" i="30"/>
  <c r="KQ43" i="30"/>
  <c r="KQ61" i="30"/>
  <c r="KI68" i="30"/>
  <c r="KI71" i="30" s="1"/>
  <c r="KH73" i="30"/>
  <c r="JV70" i="30"/>
  <c r="JV71" i="30" s="1"/>
  <c r="KN68" i="30"/>
  <c r="KN73" i="30" s="1"/>
  <c r="KJ68" i="30"/>
  <c r="KJ71" i="30" s="1"/>
  <c r="KK68" i="30"/>
  <c r="KK71" i="30" s="1"/>
  <c r="KM68" i="30"/>
  <c r="KM73" i="30" s="1"/>
  <c r="KO68" i="30"/>
  <c r="KO71" i="30" s="1"/>
  <c r="KL68" i="30"/>
  <c r="KL73" i="30" s="1"/>
  <c r="KP73" i="30" l="1"/>
  <c r="KQ68" i="30"/>
  <c r="KN71" i="30"/>
  <c r="KM71" i="30"/>
  <c r="KK73" i="30"/>
  <c r="KJ73" i="30"/>
  <c r="KO73" i="30"/>
  <c r="KL71" i="30"/>
  <c r="F68" i="30"/>
  <c r="GN61" i="30"/>
  <c r="GN43" i="30"/>
  <c r="IY13" i="30" l="1"/>
  <c r="IO6" i="30"/>
  <c r="IO9" i="30"/>
  <c r="IO18" i="30"/>
  <c r="IO10" i="30"/>
  <c r="IO11" i="30"/>
  <c r="IO12" i="30"/>
  <c r="IO16" i="30"/>
  <c r="IO17" i="30"/>
  <c r="IO20" i="30"/>
  <c r="IO22" i="30"/>
  <c r="IO23" i="30"/>
  <c r="IO24" i="30"/>
  <c r="IO27" i="30"/>
  <c r="IO28" i="30"/>
  <c r="IO29" i="30"/>
  <c r="IO33" i="30"/>
  <c r="IO34" i="30"/>
  <c r="IO31" i="30"/>
  <c r="IO36" i="30"/>
  <c r="IO37" i="30"/>
  <c r="IO38" i="30"/>
  <c r="IO40" i="30"/>
  <c r="IO42" i="30"/>
  <c r="IO41" i="30"/>
  <c r="IO43" i="30"/>
  <c r="IO44" i="30"/>
  <c r="IO45" i="30"/>
  <c r="IO46" i="30"/>
  <c r="IO50" i="30"/>
  <c r="IO51" i="30"/>
  <c r="IO52" i="30"/>
  <c r="IO54" i="30"/>
  <c r="IO55" i="30"/>
  <c r="IO56" i="30"/>
  <c r="IO57" i="30"/>
  <c r="IO58" i="30"/>
  <c r="IO59" i="30"/>
  <c r="IO30" i="30"/>
  <c r="IO60" i="30"/>
  <c r="IO61" i="30"/>
  <c r="IO63" i="30"/>
  <c r="IO64" i="30"/>
  <c r="IO65" i="30"/>
  <c r="IO67" i="30"/>
  <c r="ID70" i="30"/>
  <c r="IE70" i="30"/>
  <c r="IZ70" i="30"/>
  <c r="JA70" i="30"/>
  <c r="JK8" i="30"/>
  <c r="JK9" i="30"/>
  <c r="JK18" i="30"/>
  <c r="JK10" i="30"/>
  <c r="JK11" i="30"/>
  <c r="JK12" i="30"/>
  <c r="JK13" i="30"/>
  <c r="JK16" i="30"/>
  <c r="JK17" i="30"/>
  <c r="JK20" i="30"/>
  <c r="JK22" i="30"/>
  <c r="JK23" i="30"/>
  <c r="JK24" i="30"/>
  <c r="JK27" i="30"/>
  <c r="JK28" i="30"/>
  <c r="JK29" i="30"/>
  <c r="JK33" i="30"/>
  <c r="JK34" i="30"/>
  <c r="JK31" i="30"/>
  <c r="JK36" i="30"/>
  <c r="JK37" i="30"/>
  <c r="JK38" i="30"/>
  <c r="JK40" i="30"/>
  <c r="JK42" i="30"/>
  <c r="JL6" i="30"/>
  <c r="JN6" i="30"/>
  <c r="JO6" i="30"/>
  <c r="JP6" i="30"/>
  <c r="JQ6" i="30"/>
  <c r="JR6" i="30"/>
  <c r="JS6" i="30"/>
  <c r="JT6" i="30"/>
  <c r="JL8" i="30"/>
  <c r="JN8" i="30"/>
  <c r="JO8" i="30"/>
  <c r="JP8" i="30"/>
  <c r="JQ8" i="30"/>
  <c r="JR8" i="30"/>
  <c r="JS8" i="30"/>
  <c r="JT8" i="30"/>
  <c r="JL9" i="30"/>
  <c r="JN9" i="30"/>
  <c r="JO9" i="30"/>
  <c r="JP9" i="30"/>
  <c r="JQ9" i="30"/>
  <c r="JR9" i="30"/>
  <c r="JS9" i="30"/>
  <c r="JT9" i="30"/>
  <c r="JL18" i="30"/>
  <c r="JN18" i="30"/>
  <c r="JO18" i="30"/>
  <c r="JP18" i="30"/>
  <c r="JQ18" i="30"/>
  <c r="JR18" i="30"/>
  <c r="JS18" i="30"/>
  <c r="JT18" i="30"/>
  <c r="JL10" i="30"/>
  <c r="JN10" i="30"/>
  <c r="JO10" i="30"/>
  <c r="JP10" i="30"/>
  <c r="JQ10" i="30"/>
  <c r="JR10" i="30"/>
  <c r="JS10" i="30"/>
  <c r="JT10" i="30"/>
  <c r="JL11" i="30"/>
  <c r="JN11" i="30"/>
  <c r="JO11" i="30"/>
  <c r="JP11" i="30"/>
  <c r="JQ11" i="30"/>
  <c r="JR11" i="30"/>
  <c r="JS11" i="30"/>
  <c r="JT11" i="30"/>
  <c r="JL12" i="30"/>
  <c r="JN12" i="30"/>
  <c r="JO12" i="30"/>
  <c r="JP12" i="30"/>
  <c r="JQ12" i="30"/>
  <c r="JR12" i="30"/>
  <c r="JS12" i="30"/>
  <c r="JT12" i="30"/>
  <c r="JL13" i="30"/>
  <c r="JN13" i="30"/>
  <c r="JO13" i="30"/>
  <c r="JP13" i="30"/>
  <c r="JQ13" i="30"/>
  <c r="JR13" i="30"/>
  <c r="JS13" i="30"/>
  <c r="JT13" i="30"/>
  <c r="JL16" i="30"/>
  <c r="JN16" i="30"/>
  <c r="JO16" i="30"/>
  <c r="JP16" i="30"/>
  <c r="JQ16" i="30"/>
  <c r="JR16" i="30"/>
  <c r="JS16" i="30"/>
  <c r="JT16" i="30"/>
  <c r="JL17" i="30"/>
  <c r="JN17" i="30"/>
  <c r="JO17" i="30"/>
  <c r="JP17" i="30"/>
  <c r="JQ17" i="30"/>
  <c r="JR17" i="30"/>
  <c r="JS17" i="30"/>
  <c r="JT17" i="30"/>
  <c r="JL20" i="30"/>
  <c r="JN20" i="30"/>
  <c r="JO20" i="30"/>
  <c r="JP20" i="30"/>
  <c r="JQ20" i="30"/>
  <c r="JR20" i="30"/>
  <c r="JS20" i="30"/>
  <c r="JT20" i="30"/>
  <c r="JL22" i="30"/>
  <c r="JN22" i="30"/>
  <c r="JO22" i="30"/>
  <c r="JP22" i="30"/>
  <c r="JQ22" i="30"/>
  <c r="JR22" i="30"/>
  <c r="JS22" i="30"/>
  <c r="JT22" i="30"/>
  <c r="JL23" i="30"/>
  <c r="JN23" i="30"/>
  <c r="JO23" i="30"/>
  <c r="JP23" i="30"/>
  <c r="JQ23" i="30"/>
  <c r="JR23" i="30"/>
  <c r="JS23" i="30"/>
  <c r="JT23" i="30"/>
  <c r="JL24" i="30"/>
  <c r="JN24" i="30"/>
  <c r="JO24" i="30"/>
  <c r="JP24" i="30"/>
  <c r="JQ24" i="30"/>
  <c r="JR24" i="30"/>
  <c r="JS24" i="30"/>
  <c r="JT24" i="30"/>
  <c r="JL27" i="30"/>
  <c r="JN27" i="30"/>
  <c r="JO27" i="30"/>
  <c r="JP27" i="30"/>
  <c r="JQ27" i="30"/>
  <c r="JR27" i="30"/>
  <c r="JS27" i="30"/>
  <c r="JT27" i="30"/>
  <c r="JL28" i="30"/>
  <c r="JN28" i="30"/>
  <c r="JO28" i="30"/>
  <c r="JP28" i="30"/>
  <c r="JQ28" i="30"/>
  <c r="JR28" i="30"/>
  <c r="JS28" i="30"/>
  <c r="JT28" i="30"/>
  <c r="JL29" i="30"/>
  <c r="JN29" i="30"/>
  <c r="JO29" i="30"/>
  <c r="JP29" i="30"/>
  <c r="JQ29" i="30"/>
  <c r="JR29" i="30"/>
  <c r="JS29" i="30"/>
  <c r="JT29" i="30"/>
  <c r="JL33" i="30"/>
  <c r="JN33" i="30"/>
  <c r="JO33" i="30"/>
  <c r="JP33" i="30"/>
  <c r="JQ33" i="30"/>
  <c r="JR33" i="30"/>
  <c r="JS33" i="30"/>
  <c r="JT33" i="30"/>
  <c r="JL34" i="30"/>
  <c r="JN34" i="30"/>
  <c r="JO34" i="30"/>
  <c r="JP34" i="30"/>
  <c r="JQ34" i="30"/>
  <c r="JR34" i="30"/>
  <c r="JS34" i="30"/>
  <c r="JT34" i="30"/>
  <c r="JL31" i="30"/>
  <c r="JN31" i="30"/>
  <c r="JO31" i="30"/>
  <c r="JP31" i="30"/>
  <c r="JQ31" i="30"/>
  <c r="JR31" i="30"/>
  <c r="JS31" i="30"/>
  <c r="JT31" i="30"/>
  <c r="JL36" i="30"/>
  <c r="JN36" i="30"/>
  <c r="JO36" i="30"/>
  <c r="JP36" i="30"/>
  <c r="JQ36" i="30"/>
  <c r="JR36" i="30"/>
  <c r="JS36" i="30"/>
  <c r="JT36" i="30"/>
  <c r="JL37" i="30"/>
  <c r="JN37" i="30"/>
  <c r="JO37" i="30"/>
  <c r="JP37" i="30"/>
  <c r="JQ37" i="30"/>
  <c r="JR37" i="30"/>
  <c r="JS37" i="30"/>
  <c r="JT37" i="30"/>
  <c r="JL38" i="30"/>
  <c r="JN38" i="30"/>
  <c r="JO38" i="30"/>
  <c r="JP38" i="30"/>
  <c r="JQ38" i="30"/>
  <c r="JR38" i="30"/>
  <c r="JS38" i="30"/>
  <c r="JT38" i="30"/>
  <c r="JL40" i="30"/>
  <c r="JN40" i="30"/>
  <c r="JO40" i="30"/>
  <c r="JP40" i="30"/>
  <c r="JQ40" i="30"/>
  <c r="JR40" i="30"/>
  <c r="JS40" i="30"/>
  <c r="JT40" i="30"/>
  <c r="JL42" i="30"/>
  <c r="JN42" i="30"/>
  <c r="JO42" i="30"/>
  <c r="JP42" i="30"/>
  <c r="JQ42" i="30"/>
  <c r="JR42" i="30"/>
  <c r="JS42" i="30"/>
  <c r="JT42" i="30"/>
  <c r="JL41" i="30"/>
  <c r="JN41" i="30"/>
  <c r="JO41" i="30"/>
  <c r="JP41" i="30"/>
  <c r="JQ41" i="30"/>
  <c r="JR41" i="30"/>
  <c r="JS41" i="30"/>
  <c r="JT41" i="30"/>
  <c r="JL44" i="30"/>
  <c r="JN44" i="30"/>
  <c r="JO44" i="30"/>
  <c r="JP44" i="30"/>
  <c r="JQ44" i="30"/>
  <c r="JR44" i="30"/>
  <c r="JS44" i="30"/>
  <c r="JT44" i="30"/>
  <c r="JL45" i="30"/>
  <c r="JN45" i="30"/>
  <c r="JO45" i="30"/>
  <c r="JP45" i="30"/>
  <c r="JQ45" i="30"/>
  <c r="JR45" i="30"/>
  <c r="JS45" i="30"/>
  <c r="JT45" i="30"/>
  <c r="JL46" i="30"/>
  <c r="JN46" i="30"/>
  <c r="JO46" i="30"/>
  <c r="JP46" i="30"/>
  <c r="JQ46" i="30"/>
  <c r="JR46" i="30"/>
  <c r="JS46" i="30"/>
  <c r="JT46" i="30"/>
  <c r="JL50" i="30"/>
  <c r="JN50" i="30"/>
  <c r="JO50" i="30"/>
  <c r="JP50" i="30"/>
  <c r="JQ50" i="30"/>
  <c r="JR50" i="30"/>
  <c r="JS50" i="30"/>
  <c r="JT50" i="30"/>
  <c r="JL51" i="30"/>
  <c r="JN51" i="30"/>
  <c r="JO51" i="30"/>
  <c r="JP51" i="30"/>
  <c r="JQ51" i="30"/>
  <c r="JR51" i="30"/>
  <c r="JS51" i="30"/>
  <c r="JT51" i="30"/>
  <c r="JL52" i="30"/>
  <c r="JN52" i="30"/>
  <c r="JO52" i="30"/>
  <c r="JP52" i="30"/>
  <c r="JQ52" i="30"/>
  <c r="JR52" i="30"/>
  <c r="JS52" i="30"/>
  <c r="JT52" i="30"/>
  <c r="JL55" i="30"/>
  <c r="JN55" i="30"/>
  <c r="JO55" i="30"/>
  <c r="JP55" i="30"/>
  <c r="JQ55" i="30"/>
  <c r="JR55" i="30"/>
  <c r="JS55" i="30"/>
  <c r="JT55" i="30"/>
  <c r="JL56" i="30"/>
  <c r="JN56" i="30"/>
  <c r="JO56" i="30"/>
  <c r="JP56" i="30"/>
  <c r="JQ56" i="30"/>
  <c r="JR56" i="30"/>
  <c r="JS56" i="30"/>
  <c r="JT56" i="30"/>
  <c r="JL57" i="30"/>
  <c r="JN57" i="30"/>
  <c r="JO57" i="30"/>
  <c r="JP57" i="30"/>
  <c r="JQ57" i="30"/>
  <c r="JR57" i="30"/>
  <c r="JS57" i="30"/>
  <c r="JT57" i="30"/>
  <c r="JL58" i="30"/>
  <c r="JN58" i="30"/>
  <c r="JO58" i="30"/>
  <c r="JP58" i="30"/>
  <c r="JQ58" i="30"/>
  <c r="JR58" i="30"/>
  <c r="JS58" i="30"/>
  <c r="JT58" i="30"/>
  <c r="JL59" i="30"/>
  <c r="JN59" i="30"/>
  <c r="JO59" i="30"/>
  <c r="JP59" i="30"/>
  <c r="JQ59" i="30"/>
  <c r="JR59" i="30"/>
  <c r="JS59" i="30"/>
  <c r="JT59" i="30"/>
  <c r="JL30" i="30"/>
  <c r="JN30" i="30"/>
  <c r="JO30" i="30"/>
  <c r="JP30" i="30"/>
  <c r="JQ30" i="30"/>
  <c r="JR30" i="30"/>
  <c r="JS30" i="30"/>
  <c r="JT30" i="30"/>
  <c r="JL60" i="30"/>
  <c r="JN60" i="30"/>
  <c r="JO60" i="30"/>
  <c r="JP60" i="30"/>
  <c r="JQ60" i="30"/>
  <c r="JR60" i="30"/>
  <c r="JS60" i="30"/>
  <c r="JT60" i="30"/>
  <c r="JL62" i="30"/>
  <c r="JN62" i="30"/>
  <c r="JO62" i="30"/>
  <c r="JP62" i="30"/>
  <c r="JQ62" i="30"/>
  <c r="JR62" i="30"/>
  <c r="JS62" i="30"/>
  <c r="JT62" i="30"/>
  <c r="JL63" i="30"/>
  <c r="JN63" i="30"/>
  <c r="JO63" i="30"/>
  <c r="JP63" i="30"/>
  <c r="JQ63" i="30"/>
  <c r="JR63" i="30"/>
  <c r="JS63" i="30"/>
  <c r="JT63" i="30"/>
  <c r="JL64" i="30"/>
  <c r="JN64" i="30"/>
  <c r="JO64" i="30"/>
  <c r="JP64" i="30"/>
  <c r="JQ64" i="30"/>
  <c r="JR64" i="30"/>
  <c r="JS64" i="30"/>
  <c r="JT64" i="30"/>
  <c r="JL65" i="30"/>
  <c r="JN65" i="30"/>
  <c r="JO65" i="30"/>
  <c r="JP65" i="30"/>
  <c r="JQ65" i="30"/>
  <c r="JR65" i="30"/>
  <c r="JS65" i="30"/>
  <c r="JT65" i="30"/>
  <c r="JL67" i="30"/>
  <c r="JN67" i="30"/>
  <c r="JO67" i="30"/>
  <c r="JP67" i="30"/>
  <c r="JQ67" i="30"/>
  <c r="JR67" i="30"/>
  <c r="JS67" i="30"/>
  <c r="JT67" i="30"/>
  <c r="JN5" i="30"/>
  <c r="JO5" i="30"/>
  <c r="JP5" i="30"/>
  <c r="JQ5" i="30"/>
  <c r="JR5" i="30"/>
  <c r="JS5" i="30"/>
  <c r="JT5" i="30"/>
  <c r="JL5" i="30"/>
  <c r="JK5" i="30"/>
  <c r="JJ68" i="30"/>
  <c r="JJ71" i="30" s="1"/>
  <c r="JI68" i="30"/>
  <c r="JI71" i="30" s="1"/>
  <c r="JH68" i="30"/>
  <c r="JH71" i="30" s="1"/>
  <c r="JG68" i="30"/>
  <c r="JG71" i="30" s="1"/>
  <c r="JF68" i="30"/>
  <c r="JF71" i="30" s="1"/>
  <c r="JE68" i="30"/>
  <c r="JE71" i="30" s="1"/>
  <c r="JD68" i="30"/>
  <c r="JC68" i="30"/>
  <c r="JC71" i="30" s="1"/>
  <c r="JB68" i="30"/>
  <c r="JB71" i="30" s="1"/>
  <c r="JK67" i="30"/>
  <c r="JK65" i="30"/>
  <c r="JK64" i="30"/>
  <c r="JK63" i="30"/>
  <c r="JK62" i="30"/>
  <c r="JK61" i="30"/>
  <c r="IZ61" i="30"/>
  <c r="JK60" i="30"/>
  <c r="JK30" i="30"/>
  <c r="JK59" i="30"/>
  <c r="JK58" i="30"/>
  <c r="JK57" i="30"/>
  <c r="JK56" i="30"/>
  <c r="JK55" i="30"/>
  <c r="JK54" i="30"/>
  <c r="JK52" i="30"/>
  <c r="JK51" i="30"/>
  <c r="JK50" i="30"/>
  <c r="JK46" i="30"/>
  <c r="JK45" i="30"/>
  <c r="JK44" i="30"/>
  <c r="JK43" i="30"/>
  <c r="IZ43" i="30"/>
  <c r="JK41" i="30"/>
  <c r="JK6" i="30"/>
  <c r="ID65" i="30"/>
  <c r="ID64" i="30"/>
  <c r="IO62" i="30"/>
  <c r="ID62" i="30"/>
  <c r="ID60" i="30"/>
  <c r="ID57" i="30"/>
  <c r="ID56" i="30"/>
  <c r="ID55" i="30"/>
  <c r="ID52" i="30"/>
  <c r="ID51" i="30"/>
  <c r="ID50" i="30"/>
  <c r="ID44" i="30"/>
  <c r="ID42" i="30"/>
  <c r="ID40" i="30"/>
  <c r="ID38" i="30"/>
  <c r="ID37" i="30"/>
  <c r="ID31" i="30"/>
  <c r="ID30" i="30"/>
  <c r="ID22" i="30"/>
  <c r="ID20" i="30"/>
  <c r="ID16" i="30"/>
  <c r="ID11" i="30"/>
  <c r="IO13" i="30"/>
  <c r="ID9" i="30"/>
  <c r="HC41" i="30"/>
  <c r="IE8" i="30"/>
  <c r="ID6" i="30"/>
  <c r="ID5" i="30"/>
  <c r="ID61" i="30"/>
  <c r="ID54" i="30"/>
  <c r="ID43" i="30"/>
  <c r="HB41" i="30"/>
  <c r="GO27" i="30"/>
  <c r="GN27" i="30"/>
  <c r="GN18" i="30"/>
  <c r="FZ61" i="30"/>
  <c r="GJ61" i="30" s="1"/>
  <c r="FZ43" i="30"/>
  <c r="GJ43" i="30" s="1"/>
  <c r="FZ27" i="30"/>
  <c r="GJ27" i="30" s="1"/>
  <c r="IS9" i="30" l="1"/>
  <c r="IW9" i="30"/>
  <c r="IQ9" i="30"/>
  <c r="IP9" i="30"/>
  <c r="IT9" i="30"/>
  <c r="IX9" i="30"/>
  <c r="IU9" i="30"/>
  <c r="IV9" i="30"/>
  <c r="IR9" i="30"/>
  <c r="IP8" i="30"/>
  <c r="IT8" i="30"/>
  <c r="IX8" i="30"/>
  <c r="IR8" i="30"/>
  <c r="IQ8" i="30"/>
  <c r="IU8" i="30"/>
  <c r="IV8" i="30"/>
  <c r="IW8" i="30"/>
  <c r="IS8" i="30"/>
  <c r="IP11" i="30"/>
  <c r="IT11" i="30"/>
  <c r="IX11" i="30"/>
  <c r="IV11" i="30"/>
  <c r="IQ11" i="30"/>
  <c r="IU11" i="30"/>
  <c r="IR11" i="30"/>
  <c r="IS11" i="30"/>
  <c r="IW11" i="30"/>
  <c r="HN41" i="30"/>
  <c r="IQ16" i="30"/>
  <c r="IU16" i="30"/>
  <c r="IW16" i="30"/>
  <c r="IR16" i="30"/>
  <c r="IV16" i="30"/>
  <c r="IS16" i="30"/>
  <c r="IX16" i="30"/>
  <c r="IP16" i="30"/>
  <c r="IT16" i="30"/>
  <c r="IQ31" i="30"/>
  <c r="IU31" i="30"/>
  <c r="IS31" i="30"/>
  <c r="IR31" i="30"/>
  <c r="IV31" i="30"/>
  <c r="IW31" i="30"/>
  <c r="IP31" i="30"/>
  <c r="IT31" i="30"/>
  <c r="IX31" i="30"/>
  <c r="IO8" i="30"/>
  <c r="IE68" i="30"/>
  <c r="JU67" i="30"/>
  <c r="JU65" i="30"/>
  <c r="JU64" i="30"/>
  <c r="JU63" i="30"/>
  <c r="JU62" i="30"/>
  <c r="JU60" i="30"/>
  <c r="JU30" i="30"/>
  <c r="JU59" i="30"/>
  <c r="JU58" i="30"/>
  <c r="JU57" i="30"/>
  <c r="JU56" i="30"/>
  <c r="JU55" i="30"/>
  <c r="JU52" i="30"/>
  <c r="JU51" i="30"/>
  <c r="JU50" i="30"/>
  <c r="JU46" i="30"/>
  <c r="JU45" i="30"/>
  <c r="JU44" i="30"/>
  <c r="JU41" i="30"/>
  <c r="JU42" i="30"/>
  <c r="JU40" i="30"/>
  <c r="JU38" i="30"/>
  <c r="JU37" i="30"/>
  <c r="JU36" i="30"/>
  <c r="JU31" i="30"/>
  <c r="JU34" i="30"/>
  <c r="JU33" i="30"/>
  <c r="JU29" i="30"/>
  <c r="JU28" i="30"/>
  <c r="JU27" i="30"/>
  <c r="JU24" i="30"/>
  <c r="JU23" i="30"/>
  <c r="JU22" i="30"/>
  <c r="JU20" i="30"/>
  <c r="JU17" i="30"/>
  <c r="JU16" i="30"/>
  <c r="JU13" i="30"/>
  <c r="JU12" i="30"/>
  <c r="JU11" i="30"/>
  <c r="JU10" i="30"/>
  <c r="JU18" i="30"/>
  <c r="JU9" i="30"/>
  <c r="JU8" i="30"/>
  <c r="JU6" i="30"/>
  <c r="JU5" i="30"/>
  <c r="JN43" i="30"/>
  <c r="JM43" i="30"/>
  <c r="JO54" i="30"/>
  <c r="JM54" i="30"/>
  <c r="JO61" i="30"/>
  <c r="JM61" i="30"/>
  <c r="JP61" i="30"/>
  <c r="JD71" i="30"/>
  <c r="JL43" i="30"/>
  <c r="JA71" i="30"/>
  <c r="JT61" i="30"/>
  <c r="JL61" i="30"/>
  <c r="JQ54" i="30"/>
  <c r="JT43" i="30"/>
  <c r="IZ68" i="30"/>
  <c r="IZ71" i="30" s="1"/>
  <c r="JQ61" i="30"/>
  <c r="JP43" i="30"/>
  <c r="JT54" i="30"/>
  <c r="JP54" i="30"/>
  <c r="JL54" i="30"/>
  <c r="JS61" i="30"/>
  <c r="JS54" i="30"/>
  <c r="JR61" i="30"/>
  <c r="JN61" i="30"/>
  <c r="JR54" i="30"/>
  <c r="JN54" i="30"/>
  <c r="JQ43" i="30"/>
  <c r="JS43" i="30"/>
  <c r="JO43" i="30"/>
  <c r="JR43" i="30"/>
  <c r="JK68" i="30"/>
  <c r="IY31" i="30" l="1"/>
  <c r="IY8" i="30"/>
  <c r="JO68" i="30"/>
  <c r="JU43" i="30"/>
  <c r="JU54" i="30"/>
  <c r="JQ68" i="30"/>
  <c r="JU61" i="30"/>
  <c r="JM68" i="30"/>
  <c r="JM71" i="30" s="1"/>
  <c r="JT68" i="30"/>
  <c r="JP68" i="30"/>
  <c r="JP73" i="30" s="1"/>
  <c r="JR68" i="30"/>
  <c r="JR73" i="30" s="1"/>
  <c r="JS68" i="30"/>
  <c r="JN68" i="30"/>
  <c r="JN73" i="30" s="1"/>
  <c r="JL68" i="30"/>
  <c r="JS71" i="30" l="1"/>
  <c r="JS73" i="30"/>
  <c r="JQ71" i="30"/>
  <c r="JQ73" i="30"/>
  <c r="JT71" i="30"/>
  <c r="JT73" i="30"/>
  <c r="JO71" i="30"/>
  <c r="JO73" i="30"/>
  <c r="JU68" i="30"/>
  <c r="JN71" i="30"/>
  <c r="JP71" i="30"/>
  <c r="JR71" i="30"/>
  <c r="JL71" i="30"/>
  <c r="IO5" i="30"/>
  <c r="IO68" i="30" s="1"/>
  <c r="IX67" i="30"/>
  <c r="IX65" i="30"/>
  <c r="IX64" i="30"/>
  <c r="IX63" i="30"/>
  <c r="IX62" i="30"/>
  <c r="IX61" i="30"/>
  <c r="IX60" i="30"/>
  <c r="IX30" i="30"/>
  <c r="IX59" i="30"/>
  <c r="IX58" i="30"/>
  <c r="IX57" i="30"/>
  <c r="IX56" i="30"/>
  <c r="IX55" i="30"/>
  <c r="IX54" i="30"/>
  <c r="IX52" i="30"/>
  <c r="IX51" i="30"/>
  <c r="IX50" i="30"/>
  <c r="IX46" i="30"/>
  <c r="IX45" i="30"/>
  <c r="IX44" i="30"/>
  <c r="IX43" i="30"/>
  <c r="IX41" i="30"/>
  <c r="IX42" i="30"/>
  <c r="IX40" i="30"/>
  <c r="IX38" i="30"/>
  <c r="IX37" i="30"/>
  <c r="IX36" i="30"/>
  <c r="IX34" i="30"/>
  <c r="IX33" i="30"/>
  <c r="IX29" i="30"/>
  <c r="IX28" i="30"/>
  <c r="IX27" i="30"/>
  <c r="IX24" i="30"/>
  <c r="IX23" i="30"/>
  <c r="IX22" i="30"/>
  <c r="IX20" i="30"/>
  <c r="IX17" i="30"/>
  <c r="IX6" i="30"/>
  <c r="IX5" i="30"/>
  <c r="IN68" i="30"/>
  <c r="IN71" i="30" s="1"/>
  <c r="IX68" i="30" l="1"/>
  <c r="IX73" i="30" s="1"/>
  <c r="IP6" i="30"/>
  <c r="IQ6" i="30"/>
  <c r="IR6" i="30"/>
  <c r="IS6" i="30"/>
  <c r="IT6" i="30"/>
  <c r="IU6" i="30"/>
  <c r="IV6" i="30"/>
  <c r="IW6" i="30"/>
  <c r="IP17" i="30"/>
  <c r="IQ17" i="30"/>
  <c r="IR17" i="30"/>
  <c r="IS17" i="30"/>
  <c r="IT17" i="30"/>
  <c r="IU17" i="30"/>
  <c r="IV17" i="30"/>
  <c r="IW17" i="30"/>
  <c r="IP20" i="30"/>
  <c r="IQ20" i="30"/>
  <c r="IR20" i="30"/>
  <c r="IS20" i="30"/>
  <c r="IT20" i="30"/>
  <c r="IU20" i="30"/>
  <c r="IV20" i="30"/>
  <c r="IW20" i="30"/>
  <c r="IP22" i="30"/>
  <c r="IQ22" i="30"/>
  <c r="IR22" i="30"/>
  <c r="IS22" i="30"/>
  <c r="IT22" i="30"/>
  <c r="IU22" i="30"/>
  <c r="IV22" i="30"/>
  <c r="IW22" i="30"/>
  <c r="IP23" i="30"/>
  <c r="IQ23" i="30"/>
  <c r="IR23" i="30"/>
  <c r="IS23" i="30"/>
  <c r="IT23" i="30"/>
  <c r="IU23" i="30"/>
  <c r="IV23" i="30"/>
  <c r="IW23" i="30"/>
  <c r="IP24" i="30"/>
  <c r="IQ24" i="30"/>
  <c r="IR24" i="30"/>
  <c r="IS24" i="30"/>
  <c r="IT24" i="30"/>
  <c r="IU24" i="30"/>
  <c r="IV24" i="30"/>
  <c r="IW24" i="30"/>
  <c r="IP27" i="30"/>
  <c r="IQ27" i="30"/>
  <c r="IR27" i="30"/>
  <c r="IS27" i="30"/>
  <c r="IT27" i="30"/>
  <c r="IU27" i="30"/>
  <c r="IV27" i="30"/>
  <c r="IW27" i="30"/>
  <c r="IP28" i="30"/>
  <c r="IQ28" i="30"/>
  <c r="IR28" i="30"/>
  <c r="IS28" i="30"/>
  <c r="IT28" i="30"/>
  <c r="IU28" i="30"/>
  <c r="IV28" i="30"/>
  <c r="IW28" i="30"/>
  <c r="IP29" i="30"/>
  <c r="IQ29" i="30"/>
  <c r="IR29" i="30"/>
  <c r="IS29" i="30"/>
  <c r="IT29" i="30"/>
  <c r="IU29" i="30"/>
  <c r="IV29" i="30"/>
  <c r="IW29" i="30"/>
  <c r="IP33" i="30"/>
  <c r="IQ33" i="30"/>
  <c r="IR33" i="30"/>
  <c r="IS33" i="30"/>
  <c r="IT33" i="30"/>
  <c r="IU33" i="30"/>
  <c r="IV33" i="30"/>
  <c r="IW33" i="30"/>
  <c r="IP34" i="30"/>
  <c r="IQ34" i="30"/>
  <c r="IR34" i="30"/>
  <c r="IS34" i="30"/>
  <c r="IT34" i="30"/>
  <c r="IU34" i="30"/>
  <c r="IV34" i="30"/>
  <c r="IW34" i="30"/>
  <c r="IP36" i="30"/>
  <c r="IQ36" i="30"/>
  <c r="IR36" i="30"/>
  <c r="IS36" i="30"/>
  <c r="IT36" i="30"/>
  <c r="IU36" i="30"/>
  <c r="IV36" i="30"/>
  <c r="IW36" i="30"/>
  <c r="IP37" i="30"/>
  <c r="IQ37" i="30"/>
  <c r="IR37" i="30"/>
  <c r="IS37" i="30"/>
  <c r="IT37" i="30"/>
  <c r="IU37" i="30"/>
  <c r="IV37" i="30"/>
  <c r="IW37" i="30"/>
  <c r="IP38" i="30"/>
  <c r="IQ38" i="30"/>
  <c r="IR38" i="30"/>
  <c r="IS38" i="30"/>
  <c r="IT38" i="30"/>
  <c r="IU38" i="30"/>
  <c r="IV38" i="30"/>
  <c r="IW38" i="30"/>
  <c r="IP40" i="30"/>
  <c r="IQ40" i="30"/>
  <c r="IR40" i="30"/>
  <c r="IS40" i="30"/>
  <c r="IT40" i="30"/>
  <c r="IU40" i="30"/>
  <c r="IV40" i="30"/>
  <c r="IW40" i="30"/>
  <c r="IP42" i="30"/>
  <c r="IQ42" i="30"/>
  <c r="IR42" i="30"/>
  <c r="IS42" i="30"/>
  <c r="IT42" i="30"/>
  <c r="IU42" i="30"/>
  <c r="IV42" i="30"/>
  <c r="IW42" i="30"/>
  <c r="IP41" i="30"/>
  <c r="IQ41" i="30"/>
  <c r="IR41" i="30"/>
  <c r="IS41" i="30"/>
  <c r="IT41" i="30"/>
  <c r="IU41" i="30"/>
  <c r="IV41" i="30"/>
  <c r="IW41" i="30"/>
  <c r="IP43" i="30"/>
  <c r="IQ43" i="30"/>
  <c r="IR43" i="30"/>
  <c r="IS43" i="30"/>
  <c r="IT43" i="30"/>
  <c r="IU43" i="30"/>
  <c r="IV43" i="30"/>
  <c r="IW43" i="30"/>
  <c r="IP44" i="30"/>
  <c r="IQ44" i="30"/>
  <c r="IR44" i="30"/>
  <c r="IS44" i="30"/>
  <c r="IT44" i="30"/>
  <c r="IU44" i="30"/>
  <c r="IV44" i="30"/>
  <c r="IW44" i="30"/>
  <c r="IP45" i="30"/>
  <c r="IQ45" i="30"/>
  <c r="IR45" i="30"/>
  <c r="IS45" i="30"/>
  <c r="IT45" i="30"/>
  <c r="IU45" i="30"/>
  <c r="IV45" i="30"/>
  <c r="IW45" i="30"/>
  <c r="IP46" i="30"/>
  <c r="IQ46" i="30"/>
  <c r="IR46" i="30"/>
  <c r="IS46" i="30"/>
  <c r="IT46" i="30"/>
  <c r="IU46" i="30"/>
  <c r="IV46" i="30"/>
  <c r="IW46" i="30"/>
  <c r="IP50" i="30"/>
  <c r="IQ50" i="30"/>
  <c r="IR50" i="30"/>
  <c r="IS50" i="30"/>
  <c r="IT50" i="30"/>
  <c r="IU50" i="30"/>
  <c r="IV50" i="30"/>
  <c r="IW50" i="30"/>
  <c r="IP51" i="30"/>
  <c r="IQ51" i="30"/>
  <c r="IR51" i="30"/>
  <c r="IS51" i="30"/>
  <c r="IT51" i="30"/>
  <c r="IU51" i="30"/>
  <c r="IV51" i="30"/>
  <c r="IW51" i="30"/>
  <c r="IP52" i="30"/>
  <c r="IQ52" i="30"/>
  <c r="IR52" i="30"/>
  <c r="IS52" i="30"/>
  <c r="IT52" i="30"/>
  <c r="IU52" i="30"/>
  <c r="IV52" i="30"/>
  <c r="IW52" i="30"/>
  <c r="IP54" i="30"/>
  <c r="IQ54" i="30"/>
  <c r="IR54" i="30"/>
  <c r="IS54" i="30"/>
  <c r="IT54" i="30"/>
  <c r="IU54" i="30"/>
  <c r="IV54" i="30"/>
  <c r="IW54" i="30"/>
  <c r="IP55" i="30"/>
  <c r="IQ55" i="30"/>
  <c r="IR55" i="30"/>
  <c r="IS55" i="30"/>
  <c r="IT55" i="30"/>
  <c r="IU55" i="30"/>
  <c r="IV55" i="30"/>
  <c r="IW55" i="30"/>
  <c r="IP56" i="30"/>
  <c r="IQ56" i="30"/>
  <c r="IR56" i="30"/>
  <c r="IS56" i="30"/>
  <c r="IT56" i="30"/>
  <c r="IU56" i="30"/>
  <c r="IV56" i="30"/>
  <c r="IW56" i="30"/>
  <c r="IP57" i="30"/>
  <c r="IQ57" i="30"/>
  <c r="IR57" i="30"/>
  <c r="IS57" i="30"/>
  <c r="IT57" i="30"/>
  <c r="IU57" i="30"/>
  <c r="IV57" i="30"/>
  <c r="IW57" i="30"/>
  <c r="IP58" i="30"/>
  <c r="IQ58" i="30"/>
  <c r="IR58" i="30"/>
  <c r="IS58" i="30"/>
  <c r="IT58" i="30"/>
  <c r="IU58" i="30"/>
  <c r="IV58" i="30"/>
  <c r="IW58" i="30"/>
  <c r="IP59" i="30"/>
  <c r="IQ59" i="30"/>
  <c r="IR59" i="30"/>
  <c r="IS59" i="30"/>
  <c r="IT59" i="30"/>
  <c r="IU59" i="30"/>
  <c r="IV59" i="30"/>
  <c r="IW59" i="30"/>
  <c r="IP30" i="30"/>
  <c r="IQ30" i="30"/>
  <c r="IR30" i="30"/>
  <c r="IS30" i="30"/>
  <c r="IT30" i="30"/>
  <c r="IU30" i="30"/>
  <c r="IV30" i="30"/>
  <c r="IW30" i="30"/>
  <c r="IP60" i="30"/>
  <c r="IQ60" i="30"/>
  <c r="IR60" i="30"/>
  <c r="IS60" i="30"/>
  <c r="IT60" i="30"/>
  <c r="IU60" i="30"/>
  <c r="IV60" i="30"/>
  <c r="IW60" i="30"/>
  <c r="IP61" i="30"/>
  <c r="IQ61" i="30"/>
  <c r="IR61" i="30"/>
  <c r="IS61" i="30"/>
  <c r="IT61" i="30"/>
  <c r="IU61" i="30"/>
  <c r="IV61" i="30"/>
  <c r="IW61" i="30"/>
  <c r="IP62" i="30"/>
  <c r="IQ62" i="30"/>
  <c r="IR62" i="30"/>
  <c r="IS62" i="30"/>
  <c r="IT62" i="30"/>
  <c r="IU62" i="30"/>
  <c r="IV62" i="30"/>
  <c r="IW62" i="30"/>
  <c r="IP63" i="30"/>
  <c r="IQ63" i="30"/>
  <c r="IR63" i="30"/>
  <c r="IS63" i="30"/>
  <c r="IT63" i="30"/>
  <c r="IU63" i="30"/>
  <c r="IV63" i="30"/>
  <c r="IW63" i="30"/>
  <c r="IP64" i="30"/>
  <c r="IQ64" i="30"/>
  <c r="IR64" i="30"/>
  <c r="IS64" i="30"/>
  <c r="IT64" i="30"/>
  <c r="IU64" i="30"/>
  <c r="IV64" i="30"/>
  <c r="IW64" i="30"/>
  <c r="IP65" i="30"/>
  <c r="IQ65" i="30"/>
  <c r="IR65" i="30"/>
  <c r="IS65" i="30"/>
  <c r="IT65" i="30"/>
  <c r="IU65" i="30"/>
  <c r="IV65" i="30"/>
  <c r="IW65" i="30"/>
  <c r="IP67" i="30"/>
  <c r="IQ67" i="30"/>
  <c r="IR67" i="30"/>
  <c r="IS67" i="30"/>
  <c r="IT67" i="30"/>
  <c r="IU67" i="30"/>
  <c r="IV67" i="30"/>
  <c r="IW67" i="30"/>
  <c r="IW5" i="30"/>
  <c r="IQ5" i="30"/>
  <c r="IR5" i="30"/>
  <c r="IS5" i="30"/>
  <c r="IT5" i="30"/>
  <c r="IU5" i="30"/>
  <c r="IV5" i="30"/>
  <c r="IP5" i="30"/>
  <c r="IM68" i="30"/>
  <c r="IM71" i="30" s="1"/>
  <c r="IL68" i="30"/>
  <c r="IL71" i="30" s="1"/>
  <c r="IK68" i="30"/>
  <c r="IK71" i="30" s="1"/>
  <c r="IJ68" i="30"/>
  <c r="IJ71" i="30" s="1"/>
  <c r="II68" i="30"/>
  <c r="II71" i="30" s="1"/>
  <c r="IH68" i="30"/>
  <c r="IH71" i="30" s="1"/>
  <c r="IG68" i="30"/>
  <c r="IG71" i="30" s="1"/>
  <c r="IF68" i="30"/>
  <c r="IF71" i="30" s="1"/>
  <c r="ID68" i="30"/>
  <c r="ID71" i="30" s="1"/>
  <c r="HB70" i="30"/>
  <c r="HC70" i="30"/>
  <c r="HL6" i="30"/>
  <c r="HL9" i="30"/>
  <c r="HL18" i="30"/>
  <c r="HL10" i="30"/>
  <c r="HL11" i="30"/>
  <c r="HL12" i="30"/>
  <c r="HL16" i="30"/>
  <c r="HL17" i="30"/>
  <c r="HL20" i="30"/>
  <c r="HL22" i="30"/>
  <c r="HL23" i="30"/>
  <c r="HL24" i="30"/>
  <c r="HL27" i="30"/>
  <c r="HL28" i="30"/>
  <c r="HL29" i="30"/>
  <c r="HL33" i="30"/>
  <c r="HL34" i="30"/>
  <c r="HL36" i="30"/>
  <c r="HL37" i="30"/>
  <c r="HL38" i="30"/>
  <c r="HL40" i="30"/>
  <c r="HL42" i="30"/>
  <c r="HL41" i="30"/>
  <c r="HL43" i="30"/>
  <c r="HL44" i="30"/>
  <c r="HL45" i="30"/>
  <c r="HL46" i="30"/>
  <c r="HL50" i="30"/>
  <c r="HL51" i="30"/>
  <c r="HL52" i="30"/>
  <c r="HL54" i="30"/>
  <c r="HL55" i="30"/>
  <c r="HL56" i="30"/>
  <c r="HL57" i="30"/>
  <c r="HL58" i="30"/>
  <c r="HL59" i="30"/>
  <c r="HL30" i="30"/>
  <c r="HL60" i="30"/>
  <c r="HL61" i="30"/>
  <c r="HL62" i="30"/>
  <c r="HL63" i="30"/>
  <c r="HL64" i="30"/>
  <c r="HL65" i="30"/>
  <c r="HL67" i="30"/>
  <c r="HL5" i="30"/>
  <c r="HT62" i="30"/>
  <c r="HS38" i="30"/>
  <c r="HO17" i="30"/>
  <c r="HT67" i="30"/>
  <c r="HT65" i="30"/>
  <c r="HT64" i="30"/>
  <c r="HT63" i="30"/>
  <c r="HT60" i="30"/>
  <c r="HT30" i="30"/>
  <c r="HT59" i="30"/>
  <c r="HT58" i="30"/>
  <c r="HT57" i="30"/>
  <c r="HT56" i="30"/>
  <c r="HT55" i="30"/>
  <c r="HT52" i="30"/>
  <c r="HT51" i="30"/>
  <c r="HT50" i="30"/>
  <c r="HT46" i="30"/>
  <c r="HT45" i="30"/>
  <c r="HT44" i="30"/>
  <c r="HT41" i="30"/>
  <c r="HT42" i="30"/>
  <c r="HT40" i="30"/>
  <c r="HT38" i="30"/>
  <c r="HT37" i="30"/>
  <c r="HT36" i="30"/>
  <c r="HT34" i="30"/>
  <c r="HT33" i="30"/>
  <c r="HT29" i="30"/>
  <c r="HT28" i="30"/>
  <c r="HT27" i="30"/>
  <c r="HT24" i="30"/>
  <c r="HT23" i="30"/>
  <c r="HT22" i="30"/>
  <c r="HT20" i="30"/>
  <c r="HT17" i="30"/>
  <c r="HT16" i="30"/>
  <c r="HT12" i="30"/>
  <c r="HT11" i="30"/>
  <c r="HT10" i="30"/>
  <c r="HT18" i="30"/>
  <c r="HT9" i="30"/>
  <c r="HT6" i="30"/>
  <c r="HT5" i="30"/>
  <c r="HS67" i="30"/>
  <c r="HS65" i="30"/>
  <c r="HS64" i="30"/>
  <c r="HS63" i="30"/>
  <c r="HS62" i="30"/>
  <c r="HS60" i="30"/>
  <c r="HS30" i="30"/>
  <c r="HS59" i="30"/>
  <c r="HS58" i="30"/>
  <c r="HS57" i="30"/>
  <c r="HS56" i="30"/>
  <c r="HS55" i="30"/>
  <c r="HS52" i="30"/>
  <c r="HS51" i="30"/>
  <c r="HS50" i="30"/>
  <c r="HS46" i="30"/>
  <c r="HS45" i="30"/>
  <c r="HS44" i="30"/>
  <c r="HS41" i="30"/>
  <c r="HS42" i="30"/>
  <c r="HS40" i="30"/>
  <c r="HS37" i="30"/>
  <c r="HS36" i="30"/>
  <c r="HS34" i="30"/>
  <c r="HS33" i="30"/>
  <c r="HS29" i="30"/>
  <c r="HS28" i="30"/>
  <c r="HS27" i="30"/>
  <c r="HS24" i="30"/>
  <c r="HS23" i="30"/>
  <c r="HS22" i="30"/>
  <c r="HS20" i="30"/>
  <c r="HS17" i="30"/>
  <c r="HS16" i="30"/>
  <c r="HS12" i="30"/>
  <c r="HS11" i="30"/>
  <c r="HS10" i="30"/>
  <c r="HS18" i="30"/>
  <c r="HS9" i="30"/>
  <c r="HS6" i="30"/>
  <c r="HS5" i="30"/>
  <c r="HR67" i="30"/>
  <c r="HR65" i="30"/>
  <c r="HR64" i="30"/>
  <c r="HR63" i="30"/>
  <c r="HR62" i="30"/>
  <c r="HR60" i="30"/>
  <c r="HR30" i="30"/>
  <c r="HR59" i="30"/>
  <c r="HR58" i="30"/>
  <c r="HR57" i="30"/>
  <c r="HR56" i="30"/>
  <c r="HR55" i="30"/>
  <c r="HR52" i="30"/>
  <c r="HR51" i="30"/>
  <c r="HR50" i="30"/>
  <c r="HR46" i="30"/>
  <c r="HR45" i="30"/>
  <c r="HR44" i="30"/>
  <c r="HR41" i="30"/>
  <c r="HR42" i="30"/>
  <c r="HR40" i="30"/>
  <c r="HR38" i="30"/>
  <c r="HR37" i="30"/>
  <c r="HR36" i="30"/>
  <c r="HR34" i="30"/>
  <c r="HR33" i="30"/>
  <c r="HR29" i="30"/>
  <c r="HR28" i="30"/>
  <c r="HR27" i="30"/>
  <c r="HR24" i="30"/>
  <c r="HR23" i="30"/>
  <c r="HR22" i="30"/>
  <c r="HR20" i="30"/>
  <c r="HR17" i="30"/>
  <c r="HR16" i="30"/>
  <c r="HR12" i="30"/>
  <c r="HR11" i="30"/>
  <c r="HR10" i="30"/>
  <c r="HR18" i="30"/>
  <c r="HR9" i="30"/>
  <c r="HR6" i="30"/>
  <c r="HR5" i="30"/>
  <c r="HK68" i="30"/>
  <c r="HK71" i="30" s="1"/>
  <c r="HJ68" i="30"/>
  <c r="HJ71" i="30" s="1"/>
  <c r="HI68" i="30"/>
  <c r="HI71" i="30" s="1"/>
  <c r="HQ67" i="30"/>
  <c r="HQ65" i="30"/>
  <c r="HQ64" i="30"/>
  <c r="HQ63" i="30"/>
  <c r="HQ62" i="30"/>
  <c r="HQ60" i="30"/>
  <c r="HQ30" i="30"/>
  <c r="HQ59" i="30"/>
  <c r="HQ58" i="30"/>
  <c r="HQ57" i="30"/>
  <c r="HQ56" i="30"/>
  <c r="HQ55" i="30"/>
  <c r="HQ52" i="30"/>
  <c r="HQ51" i="30"/>
  <c r="HQ50" i="30"/>
  <c r="HQ46" i="30"/>
  <c r="HQ45" i="30"/>
  <c r="HQ44" i="30"/>
  <c r="HQ41" i="30"/>
  <c r="HQ42" i="30"/>
  <c r="HQ40" i="30"/>
  <c r="HQ38" i="30"/>
  <c r="HQ37" i="30"/>
  <c r="HQ36" i="30"/>
  <c r="HQ34" i="30"/>
  <c r="HQ33" i="30"/>
  <c r="HQ29" i="30"/>
  <c r="HQ28" i="30"/>
  <c r="HQ27" i="30"/>
  <c r="HQ24" i="30"/>
  <c r="HQ23" i="30"/>
  <c r="HQ22" i="30"/>
  <c r="HQ20" i="30"/>
  <c r="HQ17" i="30"/>
  <c r="HQ16" i="30"/>
  <c r="HQ12" i="30"/>
  <c r="HQ11" i="30"/>
  <c r="HQ10" i="30"/>
  <c r="HQ18" i="30"/>
  <c r="HQ9" i="30"/>
  <c r="HQ6" i="30"/>
  <c r="HQ5" i="30"/>
  <c r="HP67" i="30"/>
  <c r="HP65" i="30"/>
  <c r="HP64" i="30"/>
  <c r="HP63" i="30"/>
  <c r="HP62" i="30"/>
  <c r="HP60" i="30"/>
  <c r="HP30" i="30"/>
  <c r="HP59" i="30"/>
  <c r="HP58" i="30"/>
  <c r="HP57" i="30"/>
  <c r="HP56" i="30"/>
  <c r="HP55" i="30"/>
  <c r="HP52" i="30"/>
  <c r="HP51" i="30"/>
  <c r="HP50" i="30"/>
  <c r="HP46" i="30"/>
  <c r="HP45" i="30"/>
  <c r="HP44" i="30"/>
  <c r="HP41" i="30"/>
  <c r="HP42" i="30"/>
  <c r="HP40" i="30"/>
  <c r="HP38" i="30"/>
  <c r="HP37" i="30"/>
  <c r="HP36" i="30"/>
  <c r="HP34" i="30"/>
  <c r="HP33" i="30"/>
  <c r="HP29" i="30"/>
  <c r="HP28" i="30"/>
  <c r="HP27" i="30"/>
  <c r="HP24" i="30"/>
  <c r="HP23" i="30"/>
  <c r="HP22" i="30"/>
  <c r="HP20" i="30"/>
  <c r="HP17" i="30"/>
  <c r="HP16" i="30"/>
  <c r="HP12" i="30"/>
  <c r="HP11" i="30"/>
  <c r="HP10" i="30"/>
  <c r="HP18" i="30"/>
  <c r="HP9" i="30"/>
  <c r="HP6" i="30"/>
  <c r="HP5" i="30"/>
  <c r="HO67" i="30"/>
  <c r="HO65" i="30"/>
  <c r="HO64" i="30"/>
  <c r="HO63" i="30"/>
  <c r="HO62" i="30"/>
  <c r="HO60" i="30"/>
  <c r="HO30" i="30"/>
  <c r="HO59" i="30"/>
  <c r="HO58" i="30"/>
  <c r="HO57" i="30"/>
  <c r="HO56" i="30"/>
  <c r="HO55" i="30"/>
  <c r="HO52" i="30"/>
  <c r="HO51" i="30"/>
  <c r="HO50" i="30"/>
  <c r="HO46" i="30"/>
  <c r="HO45" i="30"/>
  <c r="HO44" i="30"/>
  <c r="HO41" i="30"/>
  <c r="HO42" i="30"/>
  <c r="HO40" i="30"/>
  <c r="HO38" i="30"/>
  <c r="HO37" i="30"/>
  <c r="HO36" i="30"/>
  <c r="HO34" i="30"/>
  <c r="HO33" i="30"/>
  <c r="HO29" i="30"/>
  <c r="HO28" i="30"/>
  <c r="HO27" i="30"/>
  <c r="HO24" i="30"/>
  <c r="HO23" i="30"/>
  <c r="HO22" i="30"/>
  <c r="HO20" i="30"/>
  <c r="HO16" i="30"/>
  <c r="HO12" i="30"/>
  <c r="HO11" i="30"/>
  <c r="HO10" i="30"/>
  <c r="HO18" i="30"/>
  <c r="HO9" i="30"/>
  <c r="HO6" i="30"/>
  <c r="HO5" i="30"/>
  <c r="HH68" i="30"/>
  <c r="HH71" i="30" s="1"/>
  <c r="HG68" i="30"/>
  <c r="HG71" i="30" s="1"/>
  <c r="HF68" i="30"/>
  <c r="HF71" i="30" s="1"/>
  <c r="GN70" i="30"/>
  <c r="GO70" i="30"/>
  <c r="GA70" i="30"/>
  <c r="FL70" i="30"/>
  <c r="FM70" i="30"/>
  <c r="FB70" i="30"/>
  <c r="FC70" i="30"/>
  <c r="EP70" i="30"/>
  <c r="EQ70" i="30"/>
  <c r="DZ70" i="30"/>
  <c r="EA70" i="30"/>
  <c r="DH70" i="30"/>
  <c r="DI70" i="30"/>
  <c r="CP70" i="30"/>
  <c r="CQ70" i="30"/>
  <c r="BX70" i="30"/>
  <c r="BY70" i="30"/>
  <c r="BF70" i="30"/>
  <c r="BG70" i="30"/>
  <c r="AP70" i="30"/>
  <c r="AQ70" i="30"/>
  <c r="W70" i="30"/>
  <c r="V70" i="30"/>
  <c r="GZ5" i="30"/>
  <c r="GY5" i="30"/>
  <c r="GX5" i="30"/>
  <c r="GW5" i="30"/>
  <c r="GZ67" i="30"/>
  <c r="GZ65" i="30"/>
  <c r="GZ64" i="30"/>
  <c r="GZ63" i="30"/>
  <c r="GZ62" i="30"/>
  <c r="GZ61" i="30"/>
  <c r="GZ60" i="30"/>
  <c r="GZ30" i="30"/>
  <c r="GZ59" i="30"/>
  <c r="GZ58" i="30"/>
  <c r="GZ57" i="30"/>
  <c r="GZ55" i="30"/>
  <c r="GZ54" i="30"/>
  <c r="GZ52" i="30"/>
  <c r="GZ46" i="30"/>
  <c r="GZ44" i="30"/>
  <c r="GZ43" i="30"/>
  <c r="GZ42" i="30"/>
  <c r="GZ40" i="30"/>
  <c r="GZ38" i="30"/>
  <c r="GZ34" i="30"/>
  <c r="GZ33" i="30"/>
  <c r="GZ29" i="30"/>
  <c r="GZ28" i="30"/>
  <c r="GZ27" i="30"/>
  <c r="GZ24" i="30"/>
  <c r="GZ22" i="30"/>
  <c r="GZ17" i="30"/>
  <c r="GZ16" i="30"/>
  <c r="GZ12" i="30"/>
  <c r="GZ11" i="30"/>
  <c r="GZ10" i="30"/>
  <c r="GZ18" i="30"/>
  <c r="GZ9" i="30"/>
  <c r="GZ6" i="30"/>
  <c r="GY67" i="30"/>
  <c r="GY65" i="30"/>
  <c r="GY64" i="30"/>
  <c r="GY63" i="30"/>
  <c r="GY62" i="30"/>
  <c r="GY61" i="30"/>
  <c r="GY60" i="30"/>
  <c r="GY30" i="30"/>
  <c r="GY59" i="30"/>
  <c r="GY58" i="30"/>
  <c r="GY57" i="30"/>
  <c r="GY55" i="30"/>
  <c r="GY54" i="30"/>
  <c r="GY52" i="30"/>
  <c r="GY46" i="30"/>
  <c r="GY44" i="30"/>
  <c r="GY43" i="30"/>
  <c r="GY42" i="30"/>
  <c r="GY40" i="30"/>
  <c r="GY38" i="30"/>
  <c r="GY34" i="30"/>
  <c r="GY33" i="30"/>
  <c r="GY29" i="30"/>
  <c r="GY28" i="30"/>
  <c r="GY27" i="30"/>
  <c r="GY24" i="30"/>
  <c r="GY22" i="30"/>
  <c r="GY17" i="30"/>
  <c r="GY16" i="30"/>
  <c r="GY12" i="30"/>
  <c r="GY11" i="30"/>
  <c r="GY10" i="30"/>
  <c r="GY18" i="30"/>
  <c r="GY9" i="30"/>
  <c r="GY6" i="30"/>
  <c r="GX67" i="30"/>
  <c r="GX65" i="30"/>
  <c r="GX64" i="30"/>
  <c r="GX63" i="30"/>
  <c r="GX62" i="30"/>
  <c r="GX61" i="30"/>
  <c r="GX60" i="30"/>
  <c r="GX30" i="30"/>
  <c r="GX59" i="30"/>
  <c r="GX58" i="30"/>
  <c r="GX57" i="30"/>
  <c r="GX55" i="30"/>
  <c r="GX54" i="30"/>
  <c r="GX52" i="30"/>
  <c r="GX46" i="30"/>
  <c r="GX44" i="30"/>
  <c r="GX43" i="30"/>
  <c r="GX42" i="30"/>
  <c r="GX40" i="30"/>
  <c r="GX38" i="30"/>
  <c r="GX34" i="30"/>
  <c r="GX33" i="30"/>
  <c r="GX29" i="30"/>
  <c r="GX28" i="30"/>
  <c r="GX27" i="30"/>
  <c r="GX24" i="30"/>
  <c r="GX22" i="30"/>
  <c r="GX17" i="30"/>
  <c r="GX16" i="30"/>
  <c r="GX12" i="30"/>
  <c r="GX11" i="30"/>
  <c r="GX10" i="30"/>
  <c r="GX18" i="30"/>
  <c r="GX9" i="30"/>
  <c r="GX6" i="30"/>
  <c r="GU6" i="30"/>
  <c r="GU9" i="30"/>
  <c r="GU18" i="30"/>
  <c r="GU10" i="30"/>
  <c r="GU11" i="30"/>
  <c r="GU12" i="30"/>
  <c r="GU16" i="30"/>
  <c r="GU17" i="30"/>
  <c r="GU20" i="30"/>
  <c r="GU22" i="30"/>
  <c r="GU23" i="30"/>
  <c r="GU24" i="30"/>
  <c r="GU27" i="30"/>
  <c r="GU28" i="30"/>
  <c r="GU29" i="30"/>
  <c r="GU33" i="30"/>
  <c r="GU34" i="30"/>
  <c r="GU36" i="30"/>
  <c r="GU37" i="30"/>
  <c r="GU38" i="30"/>
  <c r="GU40" i="30"/>
  <c r="GU42" i="30"/>
  <c r="GU43" i="30"/>
  <c r="GU44" i="30"/>
  <c r="GU45" i="30"/>
  <c r="GU46" i="30"/>
  <c r="GU50" i="30"/>
  <c r="GU51" i="30"/>
  <c r="GU52" i="30"/>
  <c r="GU54" i="30"/>
  <c r="GU55" i="30"/>
  <c r="GU56" i="30"/>
  <c r="GU57" i="30"/>
  <c r="GU58" i="30"/>
  <c r="GU59" i="30"/>
  <c r="GU30" i="30"/>
  <c r="GU60" i="30"/>
  <c r="GU61" i="30"/>
  <c r="GU62" i="30"/>
  <c r="GU63" i="30"/>
  <c r="GU64" i="30"/>
  <c r="GU65" i="30"/>
  <c r="GU67" i="30"/>
  <c r="GU5" i="30"/>
  <c r="GT68" i="30"/>
  <c r="GT71" i="30" s="1"/>
  <c r="GS68" i="30"/>
  <c r="GS71" i="30" s="1"/>
  <c r="GR68" i="30"/>
  <c r="GR71" i="30" s="1"/>
  <c r="GA41" i="30"/>
  <c r="GG41" i="30" s="1"/>
  <c r="GG18" i="30"/>
  <c r="GH9" i="30"/>
  <c r="GI9" i="30"/>
  <c r="GG5" i="30"/>
  <c r="GG6" i="30"/>
  <c r="GG9" i="30"/>
  <c r="GG10" i="30"/>
  <c r="GG11" i="30"/>
  <c r="GG12" i="30"/>
  <c r="GG16" i="30"/>
  <c r="GG17" i="30"/>
  <c r="GG22" i="30"/>
  <c r="GG24" i="30"/>
  <c r="GG27" i="30"/>
  <c r="GG28" i="30"/>
  <c r="GG29" i="30"/>
  <c r="GG33" i="30"/>
  <c r="GG34" i="30"/>
  <c r="GG38" i="30"/>
  <c r="GG40" i="30"/>
  <c r="GG42" i="30"/>
  <c r="GG44" i="30"/>
  <c r="GG46" i="30"/>
  <c r="GG52" i="30"/>
  <c r="GG54" i="30"/>
  <c r="GG55" i="30"/>
  <c r="GG57" i="30"/>
  <c r="GG58" i="30"/>
  <c r="GG59" i="30"/>
  <c r="GG30" i="30"/>
  <c r="GG60" i="30"/>
  <c r="GG61" i="30"/>
  <c r="GG63" i="30"/>
  <c r="GG64" i="30"/>
  <c r="GG65" i="30"/>
  <c r="GG67" i="30"/>
  <c r="FS5" i="30"/>
  <c r="GF9" i="30"/>
  <c r="GF18" i="30"/>
  <c r="GF10" i="30"/>
  <c r="GF11" i="30"/>
  <c r="GF12" i="30"/>
  <c r="GF16" i="30"/>
  <c r="GF17" i="30"/>
  <c r="GF20" i="30"/>
  <c r="GF22" i="30"/>
  <c r="GF23" i="30"/>
  <c r="GF24" i="30"/>
  <c r="GF27" i="30"/>
  <c r="GF28" i="30"/>
  <c r="GF29" i="30"/>
  <c r="GF33" i="30"/>
  <c r="GF34" i="30"/>
  <c r="GF36" i="30"/>
  <c r="GF37" i="30"/>
  <c r="GF38" i="30"/>
  <c r="GF40" i="30"/>
  <c r="GF42" i="30"/>
  <c r="GF43" i="30"/>
  <c r="GF44" i="30"/>
  <c r="GF46" i="30"/>
  <c r="GF50" i="30"/>
  <c r="GF51" i="30"/>
  <c r="GF52" i="30"/>
  <c r="GF54" i="30"/>
  <c r="GF55" i="30"/>
  <c r="GF56" i="30"/>
  <c r="GF57" i="30"/>
  <c r="GF58" i="30"/>
  <c r="GF59" i="30"/>
  <c r="GF30" i="30"/>
  <c r="GF60" i="30"/>
  <c r="GF61" i="30"/>
  <c r="GF63" i="30"/>
  <c r="GF64" i="30"/>
  <c r="GF65" i="30"/>
  <c r="GF67" i="30"/>
  <c r="GF6" i="30"/>
  <c r="GF5" i="30"/>
  <c r="GL67" i="30"/>
  <c r="GL65" i="30"/>
  <c r="GL64" i="30"/>
  <c r="GL63" i="30"/>
  <c r="GL60" i="30"/>
  <c r="GL30" i="30"/>
  <c r="GL59" i="30"/>
  <c r="GL58" i="30"/>
  <c r="GL57" i="30"/>
  <c r="GL55" i="30"/>
  <c r="GL54" i="30"/>
  <c r="GL52" i="30"/>
  <c r="GL46" i="30"/>
  <c r="GL44" i="30"/>
  <c r="GL42" i="30"/>
  <c r="GL40" i="30"/>
  <c r="GL38" i="30"/>
  <c r="GL34" i="30"/>
  <c r="GL33" i="30"/>
  <c r="GL29" i="30"/>
  <c r="GL28" i="30"/>
  <c r="GL27" i="30"/>
  <c r="GL24" i="30"/>
  <c r="GL22" i="30"/>
  <c r="GL17" i="30"/>
  <c r="GL16" i="30"/>
  <c r="GL12" i="30"/>
  <c r="GL11" i="30"/>
  <c r="GL10" i="30"/>
  <c r="GL18" i="30"/>
  <c r="GL9" i="30"/>
  <c r="GL6" i="30"/>
  <c r="GL5" i="30"/>
  <c r="GK67" i="30"/>
  <c r="GK65" i="30"/>
  <c r="GK64" i="30"/>
  <c r="GK63" i="30"/>
  <c r="GK60" i="30"/>
  <c r="GK30" i="30"/>
  <c r="GK59" i="30"/>
  <c r="GK58" i="30"/>
  <c r="GK57" i="30"/>
  <c r="GK55" i="30"/>
  <c r="GK54" i="30"/>
  <c r="GK52" i="30"/>
  <c r="GK46" i="30"/>
  <c r="GK44" i="30"/>
  <c r="GK42" i="30"/>
  <c r="GK40" i="30"/>
  <c r="GK38" i="30"/>
  <c r="GK34" i="30"/>
  <c r="GK33" i="30"/>
  <c r="GK29" i="30"/>
  <c r="GK28" i="30"/>
  <c r="GK27" i="30"/>
  <c r="GK24" i="30"/>
  <c r="GK22" i="30"/>
  <c r="GK17" i="30"/>
  <c r="GK16" i="30"/>
  <c r="GK12" i="30"/>
  <c r="GK11" i="30"/>
  <c r="GK10" i="30"/>
  <c r="GK18" i="30"/>
  <c r="GK9" i="30"/>
  <c r="GK6" i="30"/>
  <c r="GK5" i="30"/>
  <c r="GE68" i="30"/>
  <c r="GE71" i="30" s="1"/>
  <c r="GD68" i="30"/>
  <c r="GD71" i="30" s="1"/>
  <c r="FV9" i="30"/>
  <c r="FW9" i="30"/>
  <c r="FV18" i="30"/>
  <c r="FW18" i="30"/>
  <c r="FV10" i="30"/>
  <c r="FW10" i="30"/>
  <c r="FV11" i="30"/>
  <c r="FW11" i="30"/>
  <c r="FV12" i="30"/>
  <c r="FW12" i="30"/>
  <c r="FV16" i="30"/>
  <c r="FW16" i="30"/>
  <c r="FV17" i="30"/>
  <c r="FW17" i="30"/>
  <c r="FV20" i="30"/>
  <c r="FW20" i="30"/>
  <c r="FV22" i="30"/>
  <c r="FW22" i="30"/>
  <c r="FV24" i="30"/>
  <c r="FW24" i="30"/>
  <c r="FV27" i="30"/>
  <c r="FW27" i="30"/>
  <c r="FV28" i="30"/>
  <c r="FW28" i="30"/>
  <c r="FV29" i="30"/>
  <c r="FW29" i="30"/>
  <c r="FV34" i="30"/>
  <c r="FW34" i="30"/>
  <c r="FV36" i="30"/>
  <c r="FW36" i="30"/>
  <c r="FV37" i="30"/>
  <c r="FW37" i="30"/>
  <c r="FV38" i="30"/>
  <c r="FW38" i="30"/>
  <c r="FV40" i="30"/>
  <c r="FW40" i="30"/>
  <c r="FV42" i="30"/>
  <c r="FW42" i="30"/>
  <c r="FV43" i="30"/>
  <c r="FW43" i="30"/>
  <c r="FV44" i="30"/>
  <c r="FW44" i="30"/>
  <c r="FV45" i="30"/>
  <c r="FW45" i="30"/>
  <c r="FV46" i="30"/>
  <c r="FW46" i="30"/>
  <c r="FV52" i="30"/>
  <c r="FW52" i="30"/>
  <c r="FV54" i="30"/>
  <c r="FW54" i="30"/>
  <c r="FV55" i="30"/>
  <c r="FW55" i="30"/>
  <c r="FV56" i="30"/>
  <c r="FW56" i="30"/>
  <c r="FV57" i="30"/>
  <c r="FW57" i="30"/>
  <c r="FV59" i="30"/>
  <c r="FW59" i="30"/>
  <c r="FV30" i="30"/>
  <c r="FW30" i="30"/>
  <c r="FV60" i="30"/>
  <c r="FW60" i="30"/>
  <c r="FV61" i="30"/>
  <c r="FW61" i="30"/>
  <c r="FV62" i="30"/>
  <c r="FW62" i="30"/>
  <c r="FV63" i="30"/>
  <c r="FW63" i="30"/>
  <c r="FV64" i="30"/>
  <c r="FW64" i="30"/>
  <c r="FV65" i="30"/>
  <c r="FW65" i="30"/>
  <c r="FV6" i="30"/>
  <c r="FW6" i="30"/>
  <c r="FW5" i="30"/>
  <c r="FV5" i="30"/>
  <c r="FU5" i="30"/>
  <c r="FS9" i="30"/>
  <c r="FS18" i="30"/>
  <c r="FS10" i="30"/>
  <c r="FS11" i="30"/>
  <c r="FS12" i="30"/>
  <c r="FS16" i="30"/>
  <c r="FS17" i="30"/>
  <c r="FS20" i="30"/>
  <c r="FS22" i="30"/>
  <c r="FS23" i="30"/>
  <c r="FS24" i="30"/>
  <c r="FS27" i="30"/>
  <c r="FS28" i="30"/>
  <c r="FS29" i="30"/>
  <c r="FS33" i="30"/>
  <c r="FS34" i="30"/>
  <c r="FS36" i="30"/>
  <c r="FS37" i="30"/>
  <c r="FS38" i="30"/>
  <c r="FS40" i="30"/>
  <c r="FS42" i="30"/>
  <c r="FS43" i="30"/>
  <c r="FS44" i="30"/>
  <c r="FS45" i="30"/>
  <c r="FS46" i="30"/>
  <c r="FS50" i="30"/>
  <c r="FS51" i="30"/>
  <c r="FS52" i="30"/>
  <c r="FS54" i="30"/>
  <c r="FS55" i="30"/>
  <c r="FS56" i="30"/>
  <c r="FS57" i="30"/>
  <c r="FS59" i="30"/>
  <c r="FS30" i="30"/>
  <c r="FS60" i="30"/>
  <c r="FS61" i="30"/>
  <c r="FS62" i="30"/>
  <c r="FS63" i="30"/>
  <c r="FS64" i="30"/>
  <c r="FS65" i="30"/>
  <c r="FS67" i="30"/>
  <c r="FS6" i="30"/>
  <c r="FP68" i="30"/>
  <c r="FP71" i="30" s="1"/>
  <c r="FQ68" i="30"/>
  <c r="FQ71" i="30" s="1"/>
  <c r="FC41" i="30"/>
  <c r="FG41" i="30" s="1"/>
  <c r="FM41" i="30"/>
  <c r="GO41" i="30"/>
  <c r="GW41" i="30" s="1"/>
  <c r="B16" i="21"/>
  <c r="O5" i="21"/>
  <c r="Q5" i="21" s="1"/>
  <c r="O22" i="21"/>
  <c r="Q22" i="21" s="1"/>
  <c r="B34" i="21"/>
  <c r="B38" i="21" s="1"/>
  <c r="O23" i="21"/>
  <c r="Q23" i="21" s="1"/>
  <c r="O24" i="21"/>
  <c r="Q24" i="21" s="1"/>
  <c r="O25" i="21"/>
  <c r="Q25" i="21" s="1"/>
  <c r="O26" i="21"/>
  <c r="Q26" i="21" s="1"/>
  <c r="O27" i="21"/>
  <c r="Q27" i="21" s="1"/>
  <c r="O28" i="21"/>
  <c r="Q28" i="21" s="1"/>
  <c r="O29" i="21"/>
  <c r="Q29" i="21" s="1"/>
  <c r="O30" i="21"/>
  <c r="Q30" i="21" s="1"/>
  <c r="O31" i="21"/>
  <c r="Q31" i="21" s="1"/>
  <c r="O32" i="21"/>
  <c r="Q32" i="21" s="1"/>
  <c r="O33" i="21"/>
  <c r="Q33" i="21" s="1"/>
  <c r="O6" i="21"/>
  <c r="Q6" i="21" s="1"/>
  <c r="O7" i="21"/>
  <c r="Q7" i="21" s="1"/>
  <c r="O8" i="21"/>
  <c r="Q8" i="21" s="1"/>
  <c r="O9" i="21"/>
  <c r="Q9" i="21" s="1"/>
  <c r="O10" i="21"/>
  <c r="Q10" i="21" s="1"/>
  <c r="O11" i="21"/>
  <c r="Q11" i="21" s="1"/>
  <c r="O12" i="21"/>
  <c r="Q12" i="21" s="1"/>
  <c r="O13" i="21"/>
  <c r="Q13" i="21" s="1"/>
  <c r="O14" i="21"/>
  <c r="Q14" i="21" s="1"/>
  <c r="O15" i="21"/>
  <c r="Q15" i="21" s="1"/>
  <c r="O4" i="21"/>
  <c r="Q4" i="21" s="1"/>
  <c r="D34" i="21"/>
  <c r="D38" i="21" s="1"/>
  <c r="C34" i="21"/>
  <c r="C38" i="21" s="1"/>
  <c r="J34" i="21"/>
  <c r="J38" i="21" s="1"/>
  <c r="I34" i="21"/>
  <c r="I38" i="21" s="1"/>
  <c r="H34" i="21"/>
  <c r="H38" i="21" s="1"/>
  <c r="E34" i="21"/>
  <c r="E38" i="21" s="1"/>
  <c r="G34" i="21"/>
  <c r="G38" i="21" s="1"/>
  <c r="F34" i="21"/>
  <c r="F38" i="21" s="1"/>
  <c r="N34" i="21"/>
  <c r="N38" i="21" s="1"/>
  <c r="M34" i="21"/>
  <c r="M38" i="21" s="1"/>
  <c r="K34" i="21"/>
  <c r="K38" i="21" s="1"/>
  <c r="GV61" i="30"/>
  <c r="GV43" i="30"/>
  <c r="HW70" i="30"/>
  <c r="HV70" i="30"/>
  <c r="E70" i="30"/>
  <c r="D70" i="30"/>
  <c r="HY68" i="30"/>
  <c r="HY71" i="30" s="1"/>
  <c r="HX68" i="30"/>
  <c r="HX71" i="30" s="1"/>
  <c r="HW68" i="30"/>
  <c r="HE68" i="30"/>
  <c r="HE71" i="30" s="1"/>
  <c r="HD68" i="30"/>
  <c r="HD71" i="30" s="1"/>
  <c r="HC68" i="30"/>
  <c r="GQ68" i="30"/>
  <c r="GQ71" i="30" s="1"/>
  <c r="GP68" i="30"/>
  <c r="GP71" i="30" s="1"/>
  <c r="GC68" i="30"/>
  <c r="GC71" i="30" s="1"/>
  <c r="GB68" i="30"/>
  <c r="GB71" i="30" s="1"/>
  <c r="FR68" i="30"/>
  <c r="FR71" i="30" s="1"/>
  <c r="FO68" i="30"/>
  <c r="FO71" i="30" s="1"/>
  <c r="FN68" i="30"/>
  <c r="FN71" i="30" s="1"/>
  <c r="FF68" i="30"/>
  <c r="FF71" i="30" s="1"/>
  <c r="FE68" i="30"/>
  <c r="FE71" i="30" s="1"/>
  <c r="FD68" i="30"/>
  <c r="FD71" i="30" s="1"/>
  <c r="EU68" i="30"/>
  <c r="EU71" i="30" s="1"/>
  <c r="ET68" i="30"/>
  <c r="ET71" i="30" s="1"/>
  <c r="ES68" i="30"/>
  <c r="ES71" i="30" s="1"/>
  <c r="ER68" i="30"/>
  <c r="ER71" i="30" s="1"/>
  <c r="EG68" i="30"/>
  <c r="EG71" i="30" s="1"/>
  <c r="EF68" i="30"/>
  <c r="EF71" i="30" s="1"/>
  <c r="EE68" i="30"/>
  <c r="EE71" i="30" s="1"/>
  <c r="ED68" i="30"/>
  <c r="ED71" i="30" s="1"/>
  <c r="EC68" i="30"/>
  <c r="EC71" i="30" s="1"/>
  <c r="EB68" i="30"/>
  <c r="EB71" i="30" s="1"/>
  <c r="EA68" i="30"/>
  <c r="DP68" i="30"/>
  <c r="DP71" i="30" s="1"/>
  <c r="DO68" i="30"/>
  <c r="DO71" i="30" s="1"/>
  <c r="DN68" i="30"/>
  <c r="DN71" i="30" s="1"/>
  <c r="DM68" i="30"/>
  <c r="DM71" i="30" s="1"/>
  <c r="DL68" i="30"/>
  <c r="DL71" i="30" s="1"/>
  <c r="DK68" i="30"/>
  <c r="DK71" i="30" s="1"/>
  <c r="DJ68" i="30"/>
  <c r="DJ71" i="30" s="1"/>
  <c r="DI68" i="30"/>
  <c r="CX68" i="30"/>
  <c r="CX71" i="30" s="1"/>
  <c r="CW68" i="30"/>
  <c r="CW71" i="30" s="1"/>
  <c r="CV68" i="30"/>
  <c r="CV71" i="30" s="1"/>
  <c r="CU68" i="30"/>
  <c r="CU71" i="30" s="1"/>
  <c r="CT68" i="30"/>
  <c r="CT71" i="30" s="1"/>
  <c r="CS68" i="30"/>
  <c r="CS71" i="30" s="1"/>
  <c r="CR68" i="30"/>
  <c r="CR71" i="30" s="1"/>
  <c r="CQ68" i="30"/>
  <c r="CF68" i="30"/>
  <c r="CF71" i="30" s="1"/>
  <c r="CE68" i="30"/>
  <c r="CE71" i="30" s="1"/>
  <c r="CD68" i="30"/>
  <c r="CD71" i="30" s="1"/>
  <c r="CC68" i="30"/>
  <c r="CC71" i="30" s="1"/>
  <c r="CB68" i="30"/>
  <c r="CB71" i="30" s="1"/>
  <c r="CA68" i="30"/>
  <c r="CA71" i="30" s="1"/>
  <c r="BZ68" i="30"/>
  <c r="BZ71" i="30" s="1"/>
  <c r="BX68" i="30"/>
  <c r="BN68" i="30"/>
  <c r="BN71" i="30" s="1"/>
  <c r="BM68" i="30"/>
  <c r="BM71" i="30" s="1"/>
  <c r="BL68" i="30"/>
  <c r="BL71" i="30" s="1"/>
  <c r="BK68" i="30"/>
  <c r="BK71" i="30" s="1"/>
  <c r="BJ68" i="30"/>
  <c r="BJ71" i="30" s="1"/>
  <c r="BI68" i="30"/>
  <c r="BI71" i="30" s="1"/>
  <c r="BH68" i="30"/>
  <c r="BH71" i="30" s="1"/>
  <c r="BG68" i="30"/>
  <c r="AW68" i="30"/>
  <c r="AW71" i="30" s="1"/>
  <c r="AV68" i="30"/>
  <c r="AV71" i="30" s="1"/>
  <c r="AU68" i="30"/>
  <c r="AU71" i="30" s="1"/>
  <c r="AT68" i="30"/>
  <c r="AT71" i="30" s="1"/>
  <c r="AS68" i="30"/>
  <c r="AS71" i="30" s="1"/>
  <c r="AR68" i="30"/>
  <c r="AR71" i="30" s="1"/>
  <c r="AQ68" i="30"/>
  <c r="AE68" i="30"/>
  <c r="AE71" i="30" s="1"/>
  <c r="AD68" i="30"/>
  <c r="AD71" i="30" s="1"/>
  <c r="AC68" i="30"/>
  <c r="AC71" i="30" s="1"/>
  <c r="AB68" i="30"/>
  <c r="AB71" i="30" s="1"/>
  <c r="AA68" i="30"/>
  <c r="AA71" i="30" s="1"/>
  <c r="Z68" i="30"/>
  <c r="Z71" i="30" s="1"/>
  <c r="Y68" i="30"/>
  <c r="Y71" i="30" s="1"/>
  <c r="X68" i="30"/>
  <c r="X71" i="30" s="1"/>
  <c r="W68" i="30"/>
  <c r="L68" i="30"/>
  <c r="L71" i="30" s="1"/>
  <c r="K68" i="30"/>
  <c r="K71" i="30" s="1"/>
  <c r="J68" i="30"/>
  <c r="J71" i="30" s="1"/>
  <c r="I68" i="30"/>
  <c r="I71" i="30" s="1"/>
  <c r="H68" i="30"/>
  <c r="H71" i="30" s="1"/>
  <c r="G68" i="30"/>
  <c r="G71" i="30" s="1"/>
  <c r="F71" i="30"/>
  <c r="E68" i="30"/>
  <c r="E71" i="30" s="1"/>
  <c r="IB67" i="30"/>
  <c r="IA67" i="30"/>
  <c r="HZ67" i="30"/>
  <c r="HN67" i="30"/>
  <c r="HM67" i="30"/>
  <c r="GW67" i="30"/>
  <c r="GV67" i="30"/>
  <c r="GI67" i="30"/>
  <c r="GH67" i="30"/>
  <c r="FL67" i="30"/>
  <c r="FT67" i="30" s="1"/>
  <c r="FJ67" i="30"/>
  <c r="FI67" i="30"/>
  <c r="FH67" i="30"/>
  <c r="FG67" i="30"/>
  <c r="EZ67" i="30"/>
  <c r="EY67" i="30"/>
  <c r="EX67" i="30"/>
  <c r="EW67" i="30"/>
  <c r="EV67" i="30"/>
  <c r="EN67" i="30"/>
  <c r="EM67" i="30"/>
  <c r="EL67" i="30"/>
  <c r="EK67" i="30"/>
  <c r="EJ67" i="30"/>
  <c r="EI67" i="30"/>
  <c r="EH67" i="30"/>
  <c r="DQ67" i="30"/>
  <c r="DH67" i="30"/>
  <c r="DW67" i="30" s="1"/>
  <c r="DF67" i="30"/>
  <c r="DE67" i="30"/>
  <c r="DD67" i="30"/>
  <c r="DC67" i="30"/>
  <c r="DB67" i="30"/>
  <c r="DA67" i="30"/>
  <c r="CZ67" i="30"/>
  <c r="CY67" i="30"/>
  <c r="CN67" i="30"/>
  <c r="CM67" i="30"/>
  <c r="CL67" i="30"/>
  <c r="CK67" i="30"/>
  <c r="CJ67" i="30"/>
  <c r="CI67" i="30"/>
  <c r="CH67" i="30"/>
  <c r="CG67" i="30"/>
  <c r="BV67" i="30"/>
  <c r="BU67" i="30"/>
  <c r="BT67" i="30"/>
  <c r="BS67" i="30"/>
  <c r="BR67" i="30"/>
  <c r="BQ67" i="30"/>
  <c r="BP67" i="30"/>
  <c r="BO67" i="30"/>
  <c r="BD67" i="30"/>
  <c r="BC67" i="30"/>
  <c r="BB67" i="30"/>
  <c r="BA67" i="30"/>
  <c r="AZ67" i="30"/>
  <c r="AY67" i="30"/>
  <c r="AX67" i="30"/>
  <c r="AN67" i="30"/>
  <c r="AM67" i="30"/>
  <c r="AL67" i="30"/>
  <c r="AK67" i="30"/>
  <c r="AJ67" i="30"/>
  <c r="AI67" i="30"/>
  <c r="AH67" i="30"/>
  <c r="AG67" i="30"/>
  <c r="AF67" i="30"/>
  <c r="T67" i="30"/>
  <c r="S67" i="30"/>
  <c r="R67" i="30"/>
  <c r="Q67" i="30"/>
  <c r="P67" i="30"/>
  <c r="O67" i="30"/>
  <c r="N67" i="30"/>
  <c r="M67" i="30"/>
  <c r="IB65" i="30"/>
  <c r="IA65" i="30"/>
  <c r="HZ65" i="30"/>
  <c r="HN65" i="30"/>
  <c r="HM65" i="30"/>
  <c r="GW65" i="30"/>
  <c r="GV65" i="30"/>
  <c r="GI65" i="30"/>
  <c r="GH65" i="30"/>
  <c r="FX65" i="30"/>
  <c r="FU65" i="30"/>
  <c r="FT65" i="30"/>
  <c r="FJ65" i="30"/>
  <c r="FI65" i="30"/>
  <c r="FH65" i="30"/>
  <c r="FG65" i="30"/>
  <c r="EZ65" i="30"/>
  <c r="EY65" i="30"/>
  <c r="EX65" i="30"/>
  <c r="EW65" i="30"/>
  <c r="EV65" i="30"/>
  <c r="EN65" i="30"/>
  <c r="EM65" i="30"/>
  <c r="EL65" i="30"/>
  <c r="EK65" i="30"/>
  <c r="EJ65" i="30"/>
  <c r="EI65" i="30"/>
  <c r="EH65" i="30"/>
  <c r="DX65" i="30"/>
  <c r="DW65" i="30"/>
  <c r="DV65" i="30"/>
  <c r="DU65" i="30"/>
  <c r="DT65" i="30"/>
  <c r="DS65" i="30"/>
  <c r="DR65" i="30"/>
  <c r="DQ65" i="30"/>
  <c r="DF65" i="30"/>
  <c r="DE65" i="30"/>
  <c r="DD65" i="30"/>
  <c r="DC65" i="30"/>
  <c r="DB65" i="30"/>
  <c r="DA65" i="30"/>
  <c r="CZ65" i="30"/>
  <c r="CY65" i="30"/>
  <c r="CN65" i="30"/>
  <c r="CM65" i="30"/>
  <c r="CL65" i="30"/>
  <c r="CK65" i="30"/>
  <c r="CJ65" i="30"/>
  <c r="CI65" i="30"/>
  <c r="CH65" i="30"/>
  <c r="CG65" i="30"/>
  <c r="BV65" i="30"/>
  <c r="BU65" i="30"/>
  <c r="BT65" i="30"/>
  <c r="BS65" i="30"/>
  <c r="BR65" i="30"/>
  <c r="BQ65" i="30"/>
  <c r="BP65" i="30"/>
  <c r="BO65" i="30"/>
  <c r="BD65" i="30"/>
  <c r="BC65" i="30"/>
  <c r="BB65" i="30"/>
  <c r="BA65" i="30"/>
  <c r="AZ65" i="30"/>
  <c r="AY65" i="30"/>
  <c r="AX65" i="30"/>
  <c r="AN65" i="30"/>
  <c r="AM65" i="30"/>
  <c r="AL65" i="30"/>
  <c r="AK65" i="30"/>
  <c r="AJ65" i="30"/>
  <c r="AI65" i="30"/>
  <c r="AH65" i="30"/>
  <c r="AG65" i="30"/>
  <c r="AF65" i="30"/>
  <c r="T65" i="30"/>
  <c r="S65" i="30"/>
  <c r="R65" i="30"/>
  <c r="Q65" i="30"/>
  <c r="P65" i="30"/>
  <c r="O65" i="30"/>
  <c r="N65" i="30"/>
  <c r="M65" i="30"/>
  <c r="IB64" i="30"/>
  <c r="IA64" i="30"/>
  <c r="HZ64" i="30"/>
  <c r="HN64" i="30"/>
  <c r="HM64" i="30"/>
  <c r="GW64" i="30"/>
  <c r="GV64" i="30"/>
  <c r="GI64" i="30"/>
  <c r="GH64" i="30"/>
  <c r="FX64" i="30"/>
  <c r="FU64" i="30"/>
  <c r="FT64" i="30"/>
  <c r="FJ64" i="30"/>
  <c r="FI64" i="30"/>
  <c r="FH64" i="30"/>
  <c r="FG64" i="30"/>
  <c r="EZ64" i="30"/>
  <c r="EY64" i="30"/>
  <c r="EX64" i="30"/>
  <c r="EW64" i="30"/>
  <c r="EV64" i="30"/>
  <c r="EN64" i="30"/>
  <c r="EM64" i="30"/>
  <c r="EL64" i="30"/>
  <c r="EK64" i="30"/>
  <c r="EJ64" i="30"/>
  <c r="EI64" i="30"/>
  <c r="EH64" i="30"/>
  <c r="DX64" i="30"/>
  <c r="DW64" i="30"/>
  <c r="DV64" i="30"/>
  <c r="DU64" i="30"/>
  <c r="DT64" i="30"/>
  <c r="DS64" i="30"/>
  <c r="DR64" i="30"/>
  <c r="DQ64" i="30"/>
  <c r="DF64" i="30"/>
  <c r="DE64" i="30"/>
  <c r="DD64" i="30"/>
  <c r="DC64" i="30"/>
  <c r="DB64" i="30"/>
  <c r="DA64" i="30"/>
  <c r="CZ64" i="30"/>
  <c r="CY64" i="30"/>
  <c r="CN64" i="30"/>
  <c r="CM64" i="30"/>
  <c r="CL64" i="30"/>
  <c r="CK64" i="30"/>
  <c r="CJ64" i="30"/>
  <c r="CI64" i="30"/>
  <c r="CH64" i="30"/>
  <c r="CG64" i="30"/>
  <c r="BV64" i="30"/>
  <c r="BU64" i="30"/>
  <c r="BT64" i="30"/>
  <c r="BS64" i="30"/>
  <c r="BR64" i="30"/>
  <c r="BQ64" i="30"/>
  <c r="BP64" i="30"/>
  <c r="BO64" i="30"/>
  <c r="BD64" i="30"/>
  <c r="BC64" i="30"/>
  <c r="BB64" i="30"/>
  <c r="BA64" i="30"/>
  <c r="AZ64" i="30"/>
  <c r="AY64" i="30"/>
  <c r="AX64" i="30"/>
  <c r="AN64" i="30"/>
  <c r="AM64" i="30"/>
  <c r="AL64" i="30"/>
  <c r="AK64" i="30"/>
  <c r="AJ64" i="30"/>
  <c r="AI64" i="30"/>
  <c r="AH64" i="30"/>
  <c r="AG64" i="30"/>
  <c r="AF64" i="30"/>
  <c r="T64" i="30"/>
  <c r="S64" i="30"/>
  <c r="R64" i="30"/>
  <c r="Q64" i="30"/>
  <c r="P64" i="30"/>
  <c r="O64" i="30"/>
  <c r="N64" i="30"/>
  <c r="M64" i="30"/>
  <c r="IB63" i="30"/>
  <c r="IA63" i="30"/>
  <c r="HZ63" i="30"/>
  <c r="HN63" i="30"/>
  <c r="HM63" i="30"/>
  <c r="GW63" i="30"/>
  <c r="GV63" i="30"/>
  <c r="GI63" i="30"/>
  <c r="GH63" i="30"/>
  <c r="FX63" i="30"/>
  <c r="FU63" i="30"/>
  <c r="FT63" i="30"/>
  <c r="FJ63" i="30"/>
  <c r="FI63" i="30"/>
  <c r="FH63" i="30"/>
  <c r="FG63" i="30"/>
  <c r="EZ63" i="30"/>
  <c r="EY63" i="30"/>
  <c r="EX63" i="30"/>
  <c r="EW63" i="30"/>
  <c r="EV63" i="30"/>
  <c r="EN63" i="30"/>
  <c r="EM63" i="30"/>
  <c r="EL63" i="30"/>
  <c r="EK63" i="30"/>
  <c r="EJ63" i="30"/>
  <c r="EI63" i="30"/>
  <c r="EH63" i="30"/>
  <c r="DX63" i="30"/>
  <c r="DW63" i="30"/>
  <c r="DV63" i="30"/>
  <c r="DU63" i="30"/>
  <c r="DT63" i="30"/>
  <c r="DS63" i="30"/>
  <c r="DR63" i="30"/>
  <c r="DQ63" i="30"/>
  <c r="DF63" i="30"/>
  <c r="DE63" i="30"/>
  <c r="DD63" i="30"/>
  <c r="DC63" i="30"/>
  <c r="DB63" i="30"/>
  <c r="DA63" i="30"/>
  <c r="CZ63" i="30"/>
  <c r="CY63" i="30"/>
  <c r="CN63" i="30"/>
  <c r="CM63" i="30"/>
  <c r="CL63" i="30"/>
  <c r="CK63" i="30"/>
  <c r="CJ63" i="30"/>
  <c r="CI63" i="30"/>
  <c r="CH63" i="30"/>
  <c r="CG63" i="30"/>
  <c r="BV63" i="30"/>
  <c r="BU63" i="30"/>
  <c r="BT63" i="30"/>
  <c r="BS63" i="30"/>
  <c r="BR63" i="30"/>
  <c r="BQ63" i="30"/>
  <c r="BP63" i="30"/>
  <c r="BO63" i="30"/>
  <c r="BD63" i="30"/>
  <c r="BC63" i="30"/>
  <c r="BB63" i="30"/>
  <c r="BA63" i="30"/>
  <c r="AZ63" i="30"/>
  <c r="AY63" i="30"/>
  <c r="AX63" i="30"/>
  <c r="AN63" i="30"/>
  <c r="AM63" i="30"/>
  <c r="AL63" i="30"/>
  <c r="AK63" i="30"/>
  <c r="AJ63" i="30"/>
  <c r="AI63" i="30"/>
  <c r="AH63" i="30"/>
  <c r="AG63" i="30"/>
  <c r="AF63" i="30"/>
  <c r="T63" i="30"/>
  <c r="S63" i="30"/>
  <c r="R63" i="30"/>
  <c r="Q63" i="30"/>
  <c r="P63" i="30"/>
  <c r="O63" i="30"/>
  <c r="N63" i="30"/>
  <c r="M63" i="30"/>
  <c r="IB62" i="30"/>
  <c r="IA62" i="30"/>
  <c r="HZ62" i="30"/>
  <c r="HN62" i="30"/>
  <c r="HM62" i="30"/>
  <c r="GW62" i="30"/>
  <c r="GV62" i="30"/>
  <c r="GA62" i="30"/>
  <c r="GF62" i="30" s="1"/>
  <c r="IB61" i="30"/>
  <c r="IA61" i="30"/>
  <c r="HZ61" i="30"/>
  <c r="HB61" i="30"/>
  <c r="HO61" i="30" s="1"/>
  <c r="GH61" i="30"/>
  <c r="GK61" i="30"/>
  <c r="FX61" i="30"/>
  <c r="FU61" i="30"/>
  <c r="FT61" i="30"/>
  <c r="FJ61" i="30"/>
  <c r="FI61" i="30"/>
  <c r="FH61" i="30"/>
  <c r="FG61" i="30"/>
  <c r="EZ61" i="30"/>
  <c r="EY61" i="30"/>
  <c r="EX61" i="30"/>
  <c r="EW61" i="30"/>
  <c r="EV61" i="30"/>
  <c r="EN61" i="30"/>
  <c r="EM61" i="30"/>
  <c r="EL61" i="30"/>
  <c r="EK61" i="30"/>
  <c r="EJ61" i="30"/>
  <c r="EI61" i="30"/>
  <c r="EH61" i="30"/>
  <c r="DX61" i="30"/>
  <c r="DW61" i="30"/>
  <c r="DV61" i="30"/>
  <c r="DU61" i="30"/>
  <c r="DT61" i="30"/>
  <c r="DS61" i="30"/>
  <c r="DR61" i="30"/>
  <c r="DQ61" i="30"/>
  <c r="DF61" i="30"/>
  <c r="DE61" i="30"/>
  <c r="DD61" i="30"/>
  <c r="DC61" i="30"/>
  <c r="DB61" i="30"/>
  <c r="DA61" i="30"/>
  <c r="CZ61" i="30"/>
  <c r="CY61" i="30"/>
  <c r="CN61" i="30"/>
  <c r="CM61" i="30"/>
  <c r="CL61" i="30"/>
  <c r="CK61" i="30"/>
  <c r="CJ61" i="30"/>
  <c r="CI61" i="30"/>
  <c r="CH61" i="30"/>
  <c r="CG61" i="30"/>
  <c r="BO61" i="30"/>
  <c r="BF61" i="30"/>
  <c r="BS61" i="30" s="1"/>
  <c r="BD61" i="30"/>
  <c r="BC61" i="30"/>
  <c r="BB61" i="30"/>
  <c r="BA61" i="30"/>
  <c r="AZ61" i="30"/>
  <c r="AY61" i="30"/>
  <c r="AX61" i="30"/>
  <c r="AN61" i="30"/>
  <c r="AM61" i="30"/>
  <c r="AL61" i="30"/>
  <c r="AK61" i="30"/>
  <c r="AJ61" i="30"/>
  <c r="AI61" i="30"/>
  <c r="AH61" i="30"/>
  <c r="AG61" i="30"/>
  <c r="AF61" i="30"/>
  <c r="T61" i="30"/>
  <c r="S61" i="30"/>
  <c r="R61" i="30"/>
  <c r="Q61" i="30"/>
  <c r="P61" i="30"/>
  <c r="O61" i="30"/>
  <c r="N61" i="30"/>
  <c r="M61" i="30"/>
  <c r="IB60" i="30"/>
  <c r="IA60" i="30"/>
  <c r="HZ60" i="30"/>
  <c r="HN60" i="30"/>
  <c r="HM60" i="30"/>
  <c r="GW60" i="30"/>
  <c r="GV60" i="30"/>
  <c r="GI60" i="30"/>
  <c r="GH60" i="30"/>
  <c r="FX60" i="30"/>
  <c r="FU60" i="30"/>
  <c r="FT60" i="30"/>
  <c r="FJ60" i="30"/>
  <c r="FI60" i="30"/>
  <c r="FH60" i="30"/>
  <c r="FG60" i="30"/>
  <c r="EZ60" i="30"/>
  <c r="EY60" i="30"/>
  <c r="EX60" i="30"/>
  <c r="EW60" i="30"/>
  <c r="EV60" i="30"/>
  <c r="EN60" i="30"/>
  <c r="EM60" i="30"/>
  <c r="EL60" i="30"/>
  <c r="EK60" i="30"/>
  <c r="EJ60" i="30"/>
  <c r="EI60" i="30"/>
  <c r="EH60" i="30"/>
  <c r="DX60" i="30"/>
  <c r="DW60" i="30"/>
  <c r="DV60" i="30"/>
  <c r="DU60" i="30"/>
  <c r="DT60" i="30"/>
  <c r="DS60" i="30"/>
  <c r="DR60" i="30"/>
  <c r="DQ60" i="30"/>
  <c r="DF60" i="30"/>
  <c r="DE60" i="30"/>
  <c r="DD60" i="30"/>
  <c r="DC60" i="30"/>
  <c r="DB60" i="30"/>
  <c r="DA60" i="30"/>
  <c r="CZ60" i="30"/>
  <c r="CY60" i="30"/>
  <c r="CN60" i="30"/>
  <c r="CM60" i="30"/>
  <c r="CL60" i="30"/>
  <c r="CK60" i="30"/>
  <c r="CJ60" i="30"/>
  <c r="CI60" i="30"/>
  <c r="CH60" i="30"/>
  <c r="CG60" i="30"/>
  <c r="BV60" i="30"/>
  <c r="BU60" i="30"/>
  <c r="BT60" i="30"/>
  <c r="BS60" i="30"/>
  <c r="BR60" i="30"/>
  <c r="BQ60" i="30"/>
  <c r="BP60" i="30"/>
  <c r="BO60" i="30"/>
  <c r="BD60" i="30"/>
  <c r="BC60" i="30"/>
  <c r="BB60" i="30"/>
  <c r="BA60" i="30"/>
  <c r="AZ60" i="30"/>
  <c r="AY60" i="30"/>
  <c r="AX60" i="30"/>
  <c r="AN60" i="30"/>
  <c r="AM60" i="30"/>
  <c r="AL60" i="30"/>
  <c r="AK60" i="30"/>
  <c r="AJ60" i="30"/>
  <c r="AI60" i="30"/>
  <c r="AH60" i="30"/>
  <c r="AG60" i="30"/>
  <c r="AF60" i="30"/>
  <c r="T60" i="30"/>
  <c r="S60" i="30"/>
  <c r="R60" i="30"/>
  <c r="Q60" i="30"/>
  <c r="P60" i="30"/>
  <c r="O60" i="30"/>
  <c r="N60" i="30"/>
  <c r="M60" i="30"/>
  <c r="IB30" i="30"/>
  <c r="IA30" i="30"/>
  <c r="HZ30" i="30"/>
  <c r="HN30" i="30"/>
  <c r="HM30" i="30"/>
  <c r="GW30" i="30"/>
  <c r="GV30" i="30"/>
  <c r="GI30" i="30"/>
  <c r="GH30" i="30"/>
  <c r="FX30" i="30"/>
  <c r="FU30" i="30"/>
  <c r="FT30" i="30"/>
  <c r="FJ30" i="30"/>
  <c r="FI30" i="30"/>
  <c r="FH30" i="30"/>
  <c r="FG30" i="30"/>
  <c r="EZ30" i="30"/>
  <c r="EY30" i="30"/>
  <c r="EX30" i="30"/>
  <c r="EW30" i="30"/>
  <c r="EV30" i="30"/>
  <c r="EN30" i="30"/>
  <c r="EM30" i="30"/>
  <c r="EL30" i="30"/>
  <c r="EK30" i="30"/>
  <c r="EJ30" i="30"/>
  <c r="EI30" i="30"/>
  <c r="EH30" i="30"/>
  <c r="DX30" i="30"/>
  <c r="DW30" i="30"/>
  <c r="DV30" i="30"/>
  <c r="DU30" i="30"/>
  <c r="DT30" i="30"/>
  <c r="DS30" i="30"/>
  <c r="DR30" i="30"/>
  <c r="DQ30" i="30"/>
  <c r="DF30" i="30"/>
  <c r="DE30" i="30"/>
  <c r="DD30" i="30"/>
  <c r="DC30" i="30"/>
  <c r="DB30" i="30"/>
  <c r="DA30" i="30"/>
  <c r="CZ30" i="30"/>
  <c r="CY30" i="30"/>
  <c r="CN30" i="30"/>
  <c r="CM30" i="30"/>
  <c r="CL30" i="30"/>
  <c r="CK30" i="30"/>
  <c r="CJ30" i="30"/>
  <c r="CI30" i="30"/>
  <c r="CH30" i="30"/>
  <c r="CG30" i="30"/>
  <c r="BV30" i="30"/>
  <c r="BU30" i="30"/>
  <c r="BT30" i="30"/>
  <c r="BS30" i="30"/>
  <c r="BR30" i="30"/>
  <c r="BQ30" i="30"/>
  <c r="BP30" i="30"/>
  <c r="BO30" i="30"/>
  <c r="BD30" i="30"/>
  <c r="BC30" i="30"/>
  <c r="BB30" i="30"/>
  <c r="BA30" i="30"/>
  <c r="AZ30" i="30"/>
  <c r="AY30" i="30"/>
  <c r="AX30" i="30"/>
  <c r="AN30" i="30"/>
  <c r="AM30" i="30"/>
  <c r="AL30" i="30"/>
  <c r="AK30" i="30"/>
  <c r="AJ30" i="30"/>
  <c r="AI30" i="30"/>
  <c r="AH30" i="30"/>
  <c r="AG30" i="30"/>
  <c r="AF30" i="30"/>
  <c r="T30" i="30"/>
  <c r="S30" i="30"/>
  <c r="R30" i="30"/>
  <c r="Q30" i="30"/>
  <c r="P30" i="30"/>
  <c r="O30" i="30"/>
  <c r="N30" i="30"/>
  <c r="M30" i="30"/>
  <c r="IB59" i="30"/>
  <c r="IA59" i="30"/>
  <c r="HZ59" i="30"/>
  <c r="HN59" i="30"/>
  <c r="HM59" i="30"/>
  <c r="GW59" i="30"/>
  <c r="GV59" i="30"/>
  <c r="GI59" i="30"/>
  <c r="GH59" i="30"/>
  <c r="FX59" i="30"/>
  <c r="FU59" i="30"/>
  <c r="FT59" i="30"/>
  <c r="FJ59" i="30"/>
  <c r="FI59" i="30"/>
  <c r="FH59" i="30"/>
  <c r="FG59" i="30"/>
  <c r="EZ59" i="30"/>
  <c r="EY59" i="30"/>
  <c r="EX59" i="30"/>
  <c r="EW59" i="30"/>
  <c r="EV59" i="30"/>
  <c r="EN59" i="30"/>
  <c r="EM59" i="30"/>
  <c r="EL59" i="30"/>
  <c r="EK59" i="30"/>
  <c r="EJ59" i="30"/>
  <c r="EI59" i="30"/>
  <c r="EH59" i="30"/>
  <c r="DX59" i="30"/>
  <c r="DW59" i="30"/>
  <c r="DV59" i="30"/>
  <c r="DU59" i="30"/>
  <c r="DT59" i="30"/>
  <c r="DS59" i="30"/>
  <c r="DR59" i="30"/>
  <c r="DQ59" i="30"/>
  <c r="DF59" i="30"/>
  <c r="DE59" i="30"/>
  <c r="DD59" i="30"/>
  <c r="DC59" i="30"/>
  <c r="DB59" i="30"/>
  <c r="DA59" i="30"/>
  <c r="CZ59" i="30"/>
  <c r="CY59" i="30"/>
  <c r="CN59" i="30"/>
  <c r="CM59" i="30"/>
  <c r="CL59" i="30"/>
  <c r="CK59" i="30"/>
  <c r="CJ59" i="30"/>
  <c r="CI59" i="30"/>
  <c r="CH59" i="30"/>
  <c r="CG59" i="30"/>
  <c r="BV59" i="30"/>
  <c r="BU59" i="30"/>
  <c r="BT59" i="30"/>
  <c r="BS59" i="30"/>
  <c r="BR59" i="30"/>
  <c r="BQ59" i="30"/>
  <c r="BP59" i="30"/>
  <c r="BO59" i="30"/>
  <c r="BD59" i="30"/>
  <c r="BC59" i="30"/>
  <c r="BB59" i="30"/>
  <c r="BA59" i="30"/>
  <c r="AZ59" i="30"/>
  <c r="AY59" i="30"/>
  <c r="AX59" i="30"/>
  <c r="AF59" i="30"/>
  <c r="V59" i="30"/>
  <c r="AM59" i="30" s="1"/>
  <c r="M59" i="30"/>
  <c r="D59" i="30"/>
  <c r="N59" i="30" s="1"/>
  <c r="IB58" i="30"/>
  <c r="IA58" i="30"/>
  <c r="HZ58" i="30"/>
  <c r="HN58" i="30"/>
  <c r="HM58" i="30"/>
  <c r="GW58" i="30"/>
  <c r="GV58" i="30"/>
  <c r="GI58" i="30"/>
  <c r="GH58" i="30"/>
  <c r="FM58" i="30"/>
  <c r="FS58" i="30" s="1"/>
  <c r="FL58" i="30"/>
  <c r="FC58" i="30"/>
  <c r="FG58" i="30" s="1"/>
  <c r="EZ58" i="30"/>
  <c r="EY58" i="30"/>
  <c r="EX58" i="30"/>
  <c r="EW58" i="30"/>
  <c r="EV58" i="30"/>
  <c r="EN58" i="30"/>
  <c r="EM58" i="30"/>
  <c r="EL58" i="30"/>
  <c r="EK58" i="30"/>
  <c r="EJ58" i="30"/>
  <c r="EI58" i="30"/>
  <c r="EH58" i="30"/>
  <c r="DX58" i="30"/>
  <c r="DW58" i="30"/>
  <c r="DV58" i="30"/>
  <c r="DU58" i="30"/>
  <c r="DT58" i="30"/>
  <c r="DS58" i="30"/>
  <c r="DR58" i="30"/>
  <c r="DQ58" i="30"/>
  <c r="DF58" i="30"/>
  <c r="DE58" i="30"/>
  <c r="DD58" i="30"/>
  <c r="DC58" i="30"/>
  <c r="DB58" i="30"/>
  <c r="DA58" i="30"/>
  <c r="CZ58" i="30"/>
  <c r="CY58" i="30"/>
  <c r="CN58" i="30"/>
  <c r="CM58" i="30"/>
  <c r="CL58" i="30"/>
  <c r="CK58" i="30"/>
  <c r="CJ58" i="30"/>
  <c r="CI58" i="30"/>
  <c r="CH58" i="30"/>
  <c r="CG58" i="30"/>
  <c r="BV58" i="30"/>
  <c r="BU58" i="30"/>
  <c r="BT58" i="30"/>
  <c r="BS58" i="30"/>
  <c r="BR58" i="30"/>
  <c r="BQ58" i="30"/>
  <c r="BP58" i="30"/>
  <c r="BO58" i="30"/>
  <c r="BD58" i="30"/>
  <c r="BC58" i="30"/>
  <c r="BB58" i="30"/>
  <c r="BA58" i="30"/>
  <c r="AZ58" i="30"/>
  <c r="AY58" i="30"/>
  <c r="AX58" i="30"/>
  <c r="AN58" i="30"/>
  <c r="AM58" i="30"/>
  <c r="AL58" i="30"/>
  <c r="AK58" i="30"/>
  <c r="AJ58" i="30"/>
  <c r="AI58" i="30"/>
  <c r="AH58" i="30"/>
  <c r="AG58" i="30"/>
  <c r="AF58" i="30"/>
  <c r="T58" i="30"/>
  <c r="S58" i="30"/>
  <c r="R58" i="30"/>
  <c r="Q58" i="30"/>
  <c r="P58" i="30"/>
  <c r="O58" i="30"/>
  <c r="N58" i="30"/>
  <c r="M58" i="30"/>
  <c r="IB57" i="30"/>
  <c r="IA57" i="30"/>
  <c r="HZ57" i="30"/>
  <c r="HN57" i="30"/>
  <c r="HM57" i="30"/>
  <c r="GW57" i="30"/>
  <c r="GV57" i="30"/>
  <c r="GI57" i="30"/>
  <c r="GH57" i="30"/>
  <c r="FX57" i="30"/>
  <c r="FU57" i="30"/>
  <c r="FT57" i="30"/>
  <c r="FJ57" i="30"/>
  <c r="FI57" i="30"/>
  <c r="FH57" i="30"/>
  <c r="FG57" i="30"/>
  <c r="EZ57" i="30"/>
  <c r="EY57" i="30"/>
  <c r="EX57" i="30"/>
  <c r="EW57" i="30"/>
  <c r="EV57" i="30"/>
  <c r="EN57" i="30"/>
  <c r="EM57" i="30"/>
  <c r="EL57" i="30"/>
  <c r="EK57" i="30"/>
  <c r="EJ57" i="30"/>
  <c r="EI57" i="30"/>
  <c r="EH57" i="30"/>
  <c r="DX57" i="30"/>
  <c r="DW57" i="30"/>
  <c r="DV57" i="30"/>
  <c r="DU57" i="30"/>
  <c r="DT57" i="30"/>
  <c r="DS57" i="30"/>
  <c r="DR57" i="30"/>
  <c r="DQ57" i="30"/>
  <c r="DF57" i="30"/>
  <c r="DE57" i="30"/>
  <c r="DD57" i="30"/>
  <c r="DC57" i="30"/>
  <c r="DB57" i="30"/>
  <c r="DA57" i="30"/>
  <c r="CZ57" i="30"/>
  <c r="CY57" i="30"/>
  <c r="CN57" i="30"/>
  <c r="CM57" i="30"/>
  <c r="CL57" i="30"/>
  <c r="CK57" i="30"/>
  <c r="CJ57" i="30"/>
  <c r="CI57" i="30"/>
  <c r="CH57" i="30"/>
  <c r="CG57" i="30"/>
  <c r="BV57" i="30"/>
  <c r="BU57" i="30"/>
  <c r="BT57" i="30"/>
  <c r="BS57" i="30"/>
  <c r="BR57" i="30"/>
  <c r="BQ57" i="30"/>
  <c r="BP57" i="30"/>
  <c r="BO57" i="30"/>
  <c r="BD57" i="30"/>
  <c r="BC57" i="30"/>
  <c r="BB57" i="30"/>
  <c r="BA57" i="30"/>
  <c r="AZ57" i="30"/>
  <c r="AY57" i="30"/>
  <c r="AX57" i="30"/>
  <c r="AN57" i="30"/>
  <c r="AM57" i="30"/>
  <c r="AL57" i="30"/>
  <c r="AK57" i="30"/>
  <c r="AJ57" i="30"/>
  <c r="AI57" i="30"/>
  <c r="AH57" i="30"/>
  <c r="AG57" i="30"/>
  <c r="AF57" i="30"/>
  <c r="T57" i="30"/>
  <c r="S57" i="30"/>
  <c r="R57" i="30"/>
  <c r="Q57" i="30"/>
  <c r="P57" i="30"/>
  <c r="O57" i="30"/>
  <c r="N57" i="30"/>
  <c r="M57" i="30"/>
  <c r="HZ56" i="30"/>
  <c r="HV56" i="30"/>
  <c r="IB56" i="30" s="1"/>
  <c r="HN56" i="30"/>
  <c r="HM56" i="30"/>
  <c r="GN56" i="30"/>
  <c r="GZ56" i="30" s="1"/>
  <c r="FZ56" i="30"/>
  <c r="FX56" i="30"/>
  <c r="FU56" i="30"/>
  <c r="FT56" i="30"/>
  <c r="FJ56" i="30"/>
  <c r="FI56" i="30"/>
  <c r="FH56" i="30"/>
  <c r="FG56" i="30"/>
  <c r="EZ56" i="30"/>
  <c r="EY56" i="30"/>
  <c r="EX56" i="30"/>
  <c r="EW56" i="30"/>
  <c r="EV56" i="30"/>
  <c r="EH56" i="30"/>
  <c r="DZ56" i="30"/>
  <c r="EJ56" i="30" s="1"/>
  <c r="DX56" i="30"/>
  <c r="DW56" i="30"/>
  <c r="DV56" i="30"/>
  <c r="DU56" i="30"/>
  <c r="DT56" i="30"/>
  <c r="DS56" i="30"/>
  <c r="DR56" i="30"/>
  <c r="DQ56" i="30"/>
  <c r="CY56" i="30"/>
  <c r="CP56" i="30"/>
  <c r="CZ56" i="30" s="1"/>
  <c r="CN56" i="30"/>
  <c r="CM56" i="30"/>
  <c r="CL56" i="30"/>
  <c r="CK56" i="30"/>
  <c r="CJ56" i="30"/>
  <c r="CI56" i="30"/>
  <c r="CH56" i="30"/>
  <c r="CG56" i="30"/>
  <c r="BV56" i="30"/>
  <c r="BU56" i="30"/>
  <c r="BT56" i="30"/>
  <c r="BS56" i="30"/>
  <c r="BR56" i="30"/>
  <c r="BQ56" i="30"/>
  <c r="BP56" i="30"/>
  <c r="BO56" i="30"/>
  <c r="BD56" i="30"/>
  <c r="BC56" i="30"/>
  <c r="BB56" i="30"/>
  <c r="BA56" i="30"/>
  <c r="AZ56" i="30"/>
  <c r="AY56" i="30"/>
  <c r="AX56" i="30"/>
  <c r="AN56" i="30"/>
  <c r="AM56" i="30"/>
  <c r="AL56" i="30"/>
  <c r="AK56" i="30"/>
  <c r="AJ56" i="30"/>
  <c r="AI56" i="30"/>
  <c r="AH56" i="30"/>
  <c r="AG56" i="30"/>
  <c r="AF56" i="30"/>
  <c r="T56" i="30"/>
  <c r="S56" i="30"/>
  <c r="R56" i="30"/>
  <c r="Q56" i="30"/>
  <c r="P56" i="30"/>
  <c r="O56" i="30"/>
  <c r="N56" i="30"/>
  <c r="M56" i="30"/>
  <c r="IB55" i="30"/>
  <c r="IA55" i="30"/>
  <c r="HZ55" i="30"/>
  <c r="HN55" i="30"/>
  <c r="HM55" i="30"/>
  <c r="GW55" i="30"/>
  <c r="GV55" i="30"/>
  <c r="GI55" i="30"/>
  <c r="GH55" i="30"/>
  <c r="FX55" i="30"/>
  <c r="FU55" i="30"/>
  <c r="FT55" i="30"/>
  <c r="FJ55" i="30"/>
  <c r="FI55" i="30"/>
  <c r="FH55" i="30"/>
  <c r="FG55" i="30"/>
  <c r="EZ55" i="30"/>
  <c r="EY55" i="30"/>
  <c r="EX55" i="30"/>
  <c r="EW55" i="30"/>
  <c r="EV55" i="30"/>
  <c r="EH55" i="30"/>
  <c r="DZ55" i="30"/>
  <c r="EI55" i="30" s="1"/>
  <c r="DX55" i="30"/>
  <c r="DW55" i="30"/>
  <c r="DV55" i="30"/>
  <c r="DU55" i="30"/>
  <c r="DT55" i="30"/>
  <c r="DS55" i="30"/>
  <c r="DR55" i="30"/>
  <c r="DQ55" i="30"/>
  <c r="CY55" i="30"/>
  <c r="CP55" i="30"/>
  <c r="DB55" i="30" s="1"/>
  <c r="CN55" i="30"/>
  <c r="CM55" i="30"/>
  <c r="CL55" i="30"/>
  <c r="CK55" i="30"/>
  <c r="CJ55" i="30"/>
  <c r="CI55" i="30"/>
  <c r="CH55" i="30"/>
  <c r="CG55" i="30"/>
  <c r="BV55" i="30"/>
  <c r="BU55" i="30"/>
  <c r="BT55" i="30"/>
  <c r="BS55" i="30"/>
  <c r="BR55" i="30"/>
  <c r="BQ55" i="30"/>
  <c r="BP55" i="30"/>
  <c r="BO55" i="30"/>
  <c r="BD55" i="30"/>
  <c r="BC55" i="30"/>
  <c r="BB55" i="30"/>
  <c r="BA55" i="30"/>
  <c r="AZ55" i="30"/>
  <c r="AY55" i="30"/>
  <c r="AX55" i="30"/>
  <c r="AN55" i="30"/>
  <c r="AM55" i="30"/>
  <c r="AL55" i="30"/>
  <c r="AK55" i="30"/>
  <c r="AJ55" i="30"/>
  <c r="AI55" i="30"/>
  <c r="AH55" i="30"/>
  <c r="AG55" i="30"/>
  <c r="AF55" i="30"/>
  <c r="T55" i="30"/>
  <c r="S55" i="30"/>
  <c r="R55" i="30"/>
  <c r="Q55" i="30"/>
  <c r="P55" i="30"/>
  <c r="O55" i="30"/>
  <c r="N55" i="30"/>
  <c r="M55" i="30"/>
  <c r="IB54" i="30"/>
  <c r="IA54" i="30"/>
  <c r="HZ54" i="30"/>
  <c r="HB54" i="30"/>
  <c r="HO54" i="30" s="1"/>
  <c r="GW54" i="30"/>
  <c r="GV54" i="30"/>
  <c r="GI54" i="30"/>
  <c r="GH54" i="30"/>
  <c r="FX54" i="30"/>
  <c r="FU54" i="30"/>
  <c r="FT54" i="30"/>
  <c r="FJ54" i="30"/>
  <c r="FI54" i="30"/>
  <c r="FH54" i="30"/>
  <c r="FG54" i="30"/>
  <c r="EZ54" i="30"/>
  <c r="EY54" i="30"/>
  <c r="EX54" i="30"/>
  <c r="EW54" i="30"/>
  <c r="EV54" i="30"/>
  <c r="EN54" i="30"/>
  <c r="EM54" i="30"/>
  <c r="EL54" i="30"/>
  <c r="EK54" i="30"/>
  <c r="EJ54" i="30"/>
  <c r="EI54" i="30"/>
  <c r="EH54" i="30"/>
  <c r="DQ54" i="30"/>
  <c r="DH54" i="30"/>
  <c r="DW54" i="30" s="1"/>
  <c r="DF54" i="30"/>
  <c r="DE54" i="30"/>
  <c r="DD54" i="30"/>
  <c r="DC54" i="30"/>
  <c r="DB54" i="30"/>
  <c r="DA54" i="30"/>
  <c r="CZ54" i="30"/>
  <c r="CY54" i="30"/>
  <c r="CN54" i="30"/>
  <c r="CM54" i="30"/>
  <c r="CL54" i="30"/>
  <c r="CK54" i="30"/>
  <c r="CJ54" i="30"/>
  <c r="CI54" i="30"/>
  <c r="CH54" i="30"/>
  <c r="CG54" i="30"/>
  <c r="BV54" i="30"/>
  <c r="BU54" i="30"/>
  <c r="BT54" i="30"/>
  <c r="BS54" i="30"/>
  <c r="BR54" i="30"/>
  <c r="BQ54" i="30"/>
  <c r="BP54" i="30"/>
  <c r="BO54" i="30"/>
  <c r="BD54" i="30"/>
  <c r="BC54" i="30"/>
  <c r="BB54" i="30"/>
  <c r="BA54" i="30"/>
  <c r="AZ54" i="30"/>
  <c r="AY54" i="30"/>
  <c r="AX54" i="30"/>
  <c r="AN54" i="30"/>
  <c r="AM54" i="30"/>
  <c r="AL54" i="30"/>
  <c r="AK54" i="30"/>
  <c r="AJ54" i="30"/>
  <c r="AI54" i="30"/>
  <c r="AH54" i="30"/>
  <c r="AG54" i="30"/>
  <c r="AF54" i="30"/>
  <c r="T54" i="30"/>
  <c r="S54" i="30"/>
  <c r="R54" i="30"/>
  <c r="Q54" i="30"/>
  <c r="P54" i="30"/>
  <c r="O54" i="30"/>
  <c r="N54" i="30"/>
  <c r="M54" i="30"/>
  <c r="IB52" i="30"/>
  <c r="IA52" i="30"/>
  <c r="HZ52" i="30"/>
  <c r="HN52" i="30"/>
  <c r="HM52" i="30"/>
  <c r="GW52" i="30"/>
  <c r="GV52" i="30"/>
  <c r="GI52" i="30"/>
  <c r="GH52" i="30"/>
  <c r="FX52" i="30"/>
  <c r="FU52" i="30"/>
  <c r="FT52" i="30"/>
  <c r="FJ52" i="30"/>
  <c r="FI52" i="30"/>
  <c r="FH52" i="30"/>
  <c r="FG52" i="30"/>
  <c r="EZ52" i="30"/>
  <c r="EY52" i="30"/>
  <c r="EX52" i="30"/>
  <c r="EW52" i="30"/>
  <c r="EV52" i="30"/>
  <c r="EN52" i="30"/>
  <c r="EM52" i="30"/>
  <c r="EL52" i="30"/>
  <c r="EK52" i="30"/>
  <c r="EJ52" i="30"/>
  <c r="EI52" i="30"/>
  <c r="EH52" i="30"/>
  <c r="DX52" i="30"/>
  <c r="DW52" i="30"/>
  <c r="DV52" i="30"/>
  <c r="DU52" i="30"/>
  <c r="DT52" i="30"/>
  <c r="DS52" i="30"/>
  <c r="DR52" i="30"/>
  <c r="DQ52" i="30"/>
  <c r="DF52" i="30"/>
  <c r="DE52" i="30"/>
  <c r="DD52" i="30"/>
  <c r="DC52" i="30"/>
  <c r="DB52" i="30"/>
  <c r="DA52" i="30"/>
  <c r="CZ52" i="30"/>
  <c r="CY52" i="30"/>
  <c r="CN52" i="30"/>
  <c r="CM52" i="30"/>
  <c r="CL52" i="30"/>
  <c r="CK52" i="30"/>
  <c r="CJ52" i="30"/>
  <c r="CI52" i="30"/>
  <c r="CH52" i="30"/>
  <c r="CG52" i="30"/>
  <c r="BV52" i="30"/>
  <c r="BU52" i="30"/>
  <c r="BT52" i="30"/>
  <c r="BS52" i="30"/>
  <c r="BR52" i="30"/>
  <c r="BQ52" i="30"/>
  <c r="BP52" i="30"/>
  <c r="BO52" i="30"/>
  <c r="BD52" i="30"/>
  <c r="BC52" i="30"/>
  <c r="BB52" i="30"/>
  <c r="BA52" i="30"/>
  <c r="AZ52" i="30"/>
  <c r="AY52" i="30"/>
  <c r="AX52" i="30"/>
  <c r="AN52" i="30"/>
  <c r="AM52" i="30"/>
  <c r="AL52" i="30"/>
  <c r="AK52" i="30"/>
  <c r="AJ52" i="30"/>
  <c r="AI52" i="30"/>
  <c r="AH52" i="30"/>
  <c r="AG52" i="30"/>
  <c r="AF52" i="30"/>
  <c r="T52" i="30"/>
  <c r="S52" i="30"/>
  <c r="R52" i="30"/>
  <c r="Q52" i="30"/>
  <c r="P52" i="30"/>
  <c r="O52" i="30"/>
  <c r="N52" i="30"/>
  <c r="M52" i="30"/>
  <c r="HZ51" i="30"/>
  <c r="HV51" i="30"/>
  <c r="IA51" i="30" s="1"/>
  <c r="HN51" i="30"/>
  <c r="HM51" i="30"/>
  <c r="GN51" i="30"/>
  <c r="GW51" i="30" s="1"/>
  <c r="FZ51" i="30"/>
  <c r="FL51" i="30"/>
  <c r="FU51" i="30" s="1"/>
  <c r="FJ51" i="30"/>
  <c r="FI51" i="30"/>
  <c r="FH51" i="30"/>
  <c r="FG51" i="30"/>
  <c r="EZ51" i="30"/>
  <c r="EY51" i="30"/>
  <c r="EX51" i="30"/>
  <c r="EW51" i="30"/>
  <c r="EV51" i="30"/>
  <c r="EN51" i="30"/>
  <c r="EM51" i="30"/>
  <c r="EL51" i="30"/>
  <c r="EK51" i="30"/>
  <c r="EJ51" i="30"/>
  <c r="EI51" i="30"/>
  <c r="EH51" i="30"/>
  <c r="DX51" i="30"/>
  <c r="DW51" i="30"/>
  <c r="DV51" i="30"/>
  <c r="DU51" i="30"/>
  <c r="DT51" i="30"/>
  <c r="DS51" i="30"/>
  <c r="DR51" i="30"/>
  <c r="DQ51" i="30"/>
  <c r="CY51" i="30"/>
  <c r="CP51" i="30"/>
  <c r="DA51" i="30" s="1"/>
  <c r="CN51" i="30"/>
  <c r="CM51" i="30"/>
  <c r="CL51" i="30"/>
  <c r="CK51" i="30"/>
  <c r="CJ51" i="30"/>
  <c r="CI51" i="30"/>
  <c r="CH51" i="30"/>
  <c r="CG51" i="30"/>
  <c r="BV51" i="30"/>
  <c r="BU51" i="30"/>
  <c r="BT51" i="30"/>
  <c r="BS51" i="30"/>
  <c r="BR51" i="30"/>
  <c r="BQ51" i="30"/>
  <c r="BP51" i="30"/>
  <c r="BO51" i="30"/>
  <c r="BD51" i="30"/>
  <c r="BC51" i="30"/>
  <c r="BB51" i="30"/>
  <c r="BA51" i="30"/>
  <c r="AZ51" i="30"/>
  <c r="AY51" i="30"/>
  <c r="AX51" i="30"/>
  <c r="AN51" i="30"/>
  <c r="AM51" i="30"/>
  <c r="AL51" i="30"/>
  <c r="AK51" i="30"/>
  <c r="AJ51" i="30"/>
  <c r="AI51" i="30"/>
  <c r="AH51" i="30"/>
  <c r="AG51" i="30"/>
  <c r="AF51" i="30"/>
  <c r="T51" i="30"/>
  <c r="S51" i="30"/>
  <c r="R51" i="30"/>
  <c r="Q51" i="30"/>
  <c r="P51" i="30"/>
  <c r="O51" i="30"/>
  <c r="N51" i="30"/>
  <c r="M51" i="30"/>
  <c r="HZ50" i="30"/>
  <c r="HV50" i="30"/>
  <c r="IB50" i="30" s="1"/>
  <c r="HN50" i="30"/>
  <c r="HM50" i="30"/>
  <c r="GN50" i="30"/>
  <c r="GZ50" i="30" s="1"/>
  <c r="FZ50" i="30"/>
  <c r="GK50" i="30" s="1"/>
  <c r="FL50" i="30"/>
  <c r="FT50" i="30" s="1"/>
  <c r="FG50" i="30"/>
  <c r="FB50" i="30"/>
  <c r="FJ50" i="30" s="1"/>
  <c r="EV50" i="30"/>
  <c r="EP50" i="30"/>
  <c r="EZ50" i="30" s="1"/>
  <c r="EN50" i="30"/>
  <c r="EM50" i="30"/>
  <c r="EL50" i="30"/>
  <c r="EK50" i="30"/>
  <c r="EJ50" i="30"/>
  <c r="EI50" i="30"/>
  <c r="EH50" i="30"/>
  <c r="DX50" i="30"/>
  <c r="DW50" i="30"/>
  <c r="DV50" i="30"/>
  <c r="DU50" i="30"/>
  <c r="DT50" i="30"/>
  <c r="DS50" i="30"/>
  <c r="DR50" i="30"/>
  <c r="DQ50" i="30"/>
  <c r="DF50" i="30"/>
  <c r="DE50" i="30"/>
  <c r="DD50" i="30"/>
  <c r="DC50" i="30"/>
  <c r="DB50" i="30"/>
  <c r="DA50" i="30"/>
  <c r="CZ50" i="30"/>
  <c r="CY50" i="30"/>
  <c r="CN50" i="30"/>
  <c r="CM50" i="30"/>
  <c r="CL50" i="30"/>
  <c r="CK50" i="30"/>
  <c r="CJ50" i="30"/>
  <c r="CI50" i="30"/>
  <c r="CH50" i="30"/>
  <c r="CG50" i="30"/>
  <c r="BV50" i="30"/>
  <c r="BU50" i="30"/>
  <c r="BT50" i="30"/>
  <c r="BS50" i="30"/>
  <c r="BR50" i="30"/>
  <c r="BQ50" i="30"/>
  <c r="BP50" i="30"/>
  <c r="BO50" i="30"/>
  <c r="BD50" i="30"/>
  <c r="BC50" i="30"/>
  <c r="BB50" i="30"/>
  <c r="BA50" i="30"/>
  <c r="AZ50" i="30"/>
  <c r="AY50" i="30"/>
  <c r="AX50" i="30"/>
  <c r="AN50" i="30"/>
  <c r="AM50" i="30"/>
  <c r="AL50" i="30"/>
  <c r="AK50" i="30"/>
  <c r="AJ50" i="30"/>
  <c r="AI50" i="30"/>
  <c r="AH50" i="30"/>
  <c r="AG50" i="30"/>
  <c r="AF50" i="30"/>
  <c r="T50" i="30"/>
  <c r="S50" i="30"/>
  <c r="R50" i="30"/>
  <c r="Q50" i="30"/>
  <c r="P50" i="30"/>
  <c r="O50" i="30"/>
  <c r="N50" i="30"/>
  <c r="M50" i="30"/>
  <c r="IB46" i="30"/>
  <c r="IA46" i="30"/>
  <c r="HZ46" i="30"/>
  <c r="HN46" i="30"/>
  <c r="HM46" i="30"/>
  <c r="GW46" i="30"/>
  <c r="GV46" i="30"/>
  <c r="GI46" i="30"/>
  <c r="GH46" i="30"/>
  <c r="FX46" i="30"/>
  <c r="FU46" i="30"/>
  <c r="FT46" i="30"/>
  <c r="FJ46" i="30"/>
  <c r="FI46" i="30"/>
  <c r="FH46" i="30"/>
  <c r="FG46" i="30"/>
  <c r="EZ46" i="30"/>
  <c r="EY46" i="30"/>
  <c r="EX46" i="30"/>
  <c r="EW46" i="30"/>
  <c r="EV46" i="30"/>
  <c r="EH46" i="30"/>
  <c r="DZ46" i="30"/>
  <c r="EK46" i="30" s="1"/>
  <c r="DQ46" i="30"/>
  <c r="DH46" i="30"/>
  <c r="DT46" i="30" s="1"/>
  <c r="DF46" i="30"/>
  <c r="DE46" i="30"/>
  <c r="DD46" i="30"/>
  <c r="DC46" i="30"/>
  <c r="DB46" i="30"/>
  <c r="DA46" i="30"/>
  <c r="CZ46" i="30"/>
  <c r="CY46" i="30"/>
  <c r="CN46" i="30"/>
  <c r="CM46" i="30"/>
  <c r="CL46" i="30"/>
  <c r="CK46" i="30"/>
  <c r="CJ46" i="30"/>
  <c r="CI46" i="30"/>
  <c r="CH46" i="30"/>
  <c r="CG46" i="30"/>
  <c r="BV46" i="30"/>
  <c r="BU46" i="30"/>
  <c r="BT46" i="30"/>
  <c r="BS46" i="30"/>
  <c r="BR46" i="30"/>
  <c r="BQ46" i="30"/>
  <c r="BP46" i="30"/>
  <c r="BO46" i="30"/>
  <c r="BD46" i="30"/>
  <c r="BC46" i="30"/>
  <c r="BB46" i="30"/>
  <c r="BA46" i="30"/>
  <c r="AZ46" i="30"/>
  <c r="AY46" i="30"/>
  <c r="AX46" i="30"/>
  <c r="AN46" i="30"/>
  <c r="AM46" i="30"/>
  <c r="AL46" i="30"/>
  <c r="AK46" i="30"/>
  <c r="AJ46" i="30"/>
  <c r="AI46" i="30"/>
  <c r="AH46" i="30"/>
  <c r="AG46" i="30"/>
  <c r="AF46" i="30"/>
  <c r="T46" i="30"/>
  <c r="S46" i="30"/>
  <c r="R46" i="30"/>
  <c r="Q46" i="30"/>
  <c r="P46" i="30"/>
  <c r="O46" i="30"/>
  <c r="N46" i="30"/>
  <c r="M46" i="30"/>
  <c r="HZ45" i="30"/>
  <c r="HV45" i="30"/>
  <c r="IA45" i="30" s="1"/>
  <c r="HN45" i="30"/>
  <c r="HM45" i="30"/>
  <c r="GN45" i="30"/>
  <c r="GZ45" i="30" s="1"/>
  <c r="GA45" i="30"/>
  <c r="FZ45" i="30"/>
  <c r="IB44" i="30"/>
  <c r="IA44" i="30"/>
  <c r="HZ44" i="30"/>
  <c r="HN44" i="30"/>
  <c r="HM44" i="30"/>
  <c r="GW44" i="30"/>
  <c r="GV44" i="30"/>
  <c r="GI44" i="30"/>
  <c r="GH44" i="30"/>
  <c r="FX44" i="30"/>
  <c r="FU44" i="30"/>
  <c r="FT44" i="30"/>
  <c r="FJ44" i="30"/>
  <c r="FI44" i="30"/>
  <c r="FH44" i="30"/>
  <c r="FG44" i="30"/>
  <c r="EZ44" i="30"/>
  <c r="EY44" i="30"/>
  <c r="EX44" i="30"/>
  <c r="EW44" i="30"/>
  <c r="EV44" i="30"/>
  <c r="EN44" i="30"/>
  <c r="EM44" i="30"/>
  <c r="EL44" i="30"/>
  <c r="EK44" i="30"/>
  <c r="EJ44" i="30"/>
  <c r="EI44" i="30"/>
  <c r="EH44" i="30"/>
  <c r="DX44" i="30"/>
  <c r="DW44" i="30"/>
  <c r="DV44" i="30"/>
  <c r="DU44" i="30"/>
  <c r="DT44" i="30"/>
  <c r="DS44" i="30"/>
  <c r="DR44" i="30"/>
  <c r="DQ44" i="30"/>
  <c r="CY44" i="30"/>
  <c r="CP44" i="30"/>
  <c r="DA44" i="30" s="1"/>
  <c r="CN44" i="30"/>
  <c r="CM44" i="30"/>
  <c r="CL44" i="30"/>
  <c r="CK44" i="30"/>
  <c r="CJ44" i="30"/>
  <c r="CI44" i="30"/>
  <c r="CH44" i="30"/>
  <c r="CG44" i="30"/>
  <c r="BV44" i="30"/>
  <c r="BU44" i="30"/>
  <c r="BT44" i="30"/>
  <c r="BS44" i="30"/>
  <c r="BR44" i="30"/>
  <c r="BQ44" i="30"/>
  <c r="BP44" i="30"/>
  <c r="BO44" i="30"/>
  <c r="BD44" i="30"/>
  <c r="BC44" i="30"/>
  <c r="BB44" i="30"/>
  <c r="BA44" i="30"/>
  <c r="AZ44" i="30"/>
  <c r="AY44" i="30"/>
  <c r="AX44" i="30"/>
  <c r="AN44" i="30"/>
  <c r="AM44" i="30"/>
  <c r="AL44" i="30"/>
  <c r="AK44" i="30"/>
  <c r="AJ44" i="30"/>
  <c r="AI44" i="30"/>
  <c r="AH44" i="30"/>
  <c r="AG44" i="30"/>
  <c r="AF44" i="30"/>
  <c r="T44" i="30"/>
  <c r="S44" i="30"/>
  <c r="R44" i="30"/>
  <c r="Q44" i="30"/>
  <c r="P44" i="30"/>
  <c r="O44" i="30"/>
  <c r="N44" i="30"/>
  <c r="M44" i="30"/>
  <c r="IB43" i="30"/>
  <c r="IA43" i="30"/>
  <c r="HZ43" i="30"/>
  <c r="HB43" i="30"/>
  <c r="HT43" i="30" s="1"/>
  <c r="GH43" i="30"/>
  <c r="GK43" i="30"/>
  <c r="GI43" i="30"/>
  <c r="FX43" i="30"/>
  <c r="FU43" i="30"/>
  <c r="FT43" i="30"/>
  <c r="FJ43" i="30"/>
  <c r="FI43" i="30"/>
  <c r="FH43" i="30"/>
  <c r="FG43" i="30"/>
  <c r="EZ43" i="30"/>
  <c r="EY43" i="30"/>
  <c r="EX43" i="30"/>
  <c r="EW43" i="30"/>
  <c r="EV43" i="30"/>
  <c r="EH43" i="30"/>
  <c r="DZ43" i="30"/>
  <c r="EI43" i="30" s="1"/>
  <c r="DQ43" i="30"/>
  <c r="DH43" i="30"/>
  <c r="DW43" i="30" s="1"/>
  <c r="DF43" i="30"/>
  <c r="DE43" i="30"/>
  <c r="DD43" i="30"/>
  <c r="DC43" i="30"/>
  <c r="DB43" i="30"/>
  <c r="DA43" i="30"/>
  <c r="CZ43" i="30"/>
  <c r="CY43" i="30"/>
  <c r="CN43" i="30"/>
  <c r="CM43" i="30"/>
  <c r="CL43" i="30"/>
  <c r="CK43" i="30"/>
  <c r="CJ43" i="30"/>
  <c r="CI43" i="30"/>
  <c r="CH43" i="30"/>
  <c r="CG43" i="30"/>
  <c r="BV43" i="30"/>
  <c r="BU43" i="30"/>
  <c r="BT43" i="30"/>
  <c r="BS43" i="30"/>
  <c r="BR43" i="30"/>
  <c r="BQ43" i="30"/>
  <c r="BP43" i="30"/>
  <c r="BO43" i="30"/>
  <c r="BD43" i="30"/>
  <c r="BC43" i="30"/>
  <c r="BB43" i="30"/>
  <c r="BA43" i="30"/>
  <c r="AZ43" i="30"/>
  <c r="AY43" i="30"/>
  <c r="AX43" i="30"/>
  <c r="AN43" i="30"/>
  <c r="AM43" i="30"/>
  <c r="AL43" i="30"/>
  <c r="AK43" i="30"/>
  <c r="AJ43" i="30"/>
  <c r="AI43" i="30"/>
  <c r="AH43" i="30"/>
  <c r="AG43" i="30"/>
  <c r="AF43" i="30"/>
  <c r="T43" i="30"/>
  <c r="S43" i="30"/>
  <c r="R43" i="30"/>
  <c r="Q43" i="30"/>
  <c r="P43" i="30"/>
  <c r="O43" i="30"/>
  <c r="N43" i="30"/>
  <c r="M43" i="30"/>
  <c r="IB41" i="30"/>
  <c r="IA41" i="30"/>
  <c r="HZ41" i="30"/>
  <c r="HM41" i="30"/>
  <c r="FL41" i="30"/>
  <c r="FV41" i="30" s="1"/>
  <c r="FB41" i="30"/>
  <c r="IB42" i="30"/>
  <c r="IA42" i="30"/>
  <c r="HZ42" i="30"/>
  <c r="HN42" i="30"/>
  <c r="HM42" i="30"/>
  <c r="GW42" i="30"/>
  <c r="GV42" i="30"/>
  <c r="GI42" i="30"/>
  <c r="GH42" i="30"/>
  <c r="FX42" i="30"/>
  <c r="FU42" i="30"/>
  <c r="FT42" i="30"/>
  <c r="FJ42" i="30"/>
  <c r="FI42" i="30"/>
  <c r="FH42" i="30"/>
  <c r="FG42" i="30"/>
  <c r="EZ42" i="30"/>
  <c r="EY42" i="30"/>
  <c r="EX42" i="30"/>
  <c r="EW42" i="30"/>
  <c r="EV42" i="30"/>
  <c r="EN42" i="30"/>
  <c r="EM42" i="30"/>
  <c r="EL42" i="30"/>
  <c r="EK42" i="30"/>
  <c r="EJ42" i="30"/>
  <c r="EI42" i="30"/>
  <c r="EH42" i="30"/>
  <c r="DX42" i="30"/>
  <c r="DW42" i="30"/>
  <c r="DV42" i="30"/>
  <c r="DU42" i="30"/>
  <c r="DT42" i="30"/>
  <c r="DS42" i="30"/>
  <c r="DR42" i="30"/>
  <c r="DQ42" i="30"/>
  <c r="DF42" i="30"/>
  <c r="DE42" i="30"/>
  <c r="DD42" i="30"/>
  <c r="DC42" i="30"/>
  <c r="DB42" i="30"/>
  <c r="DA42" i="30"/>
  <c r="CZ42" i="30"/>
  <c r="CY42" i="30"/>
  <c r="CN42" i="30"/>
  <c r="CM42" i="30"/>
  <c r="CL42" i="30"/>
  <c r="CK42" i="30"/>
  <c r="CJ42" i="30"/>
  <c r="CI42" i="30"/>
  <c r="CH42" i="30"/>
  <c r="CG42" i="30"/>
  <c r="BV42" i="30"/>
  <c r="BU42" i="30"/>
  <c r="BT42" i="30"/>
  <c r="BS42" i="30"/>
  <c r="BR42" i="30"/>
  <c r="BQ42" i="30"/>
  <c r="BP42" i="30"/>
  <c r="BO42" i="30"/>
  <c r="BD42" i="30"/>
  <c r="BC42" i="30"/>
  <c r="BB42" i="30"/>
  <c r="BA42" i="30"/>
  <c r="AZ42" i="30"/>
  <c r="AY42" i="30"/>
  <c r="AX42" i="30"/>
  <c r="AN42" i="30"/>
  <c r="AM42" i="30"/>
  <c r="AL42" i="30"/>
  <c r="AK42" i="30"/>
  <c r="AJ42" i="30"/>
  <c r="AI42" i="30"/>
  <c r="AH42" i="30"/>
  <c r="AG42" i="30"/>
  <c r="AF42" i="30"/>
  <c r="T42" i="30"/>
  <c r="S42" i="30"/>
  <c r="R42" i="30"/>
  <c r="Q42" i="30"/>
  <c r="P42" i="30"/>
  <c r="O42" i="30"/>
  <c r="N42" i="30"/>
  <c r="M42" i="30"/>
  <c r="IB40" i="30"/>
  <c r="IA40" i="30"/>
  <c r="HZ40" i="30"/>
  <c r="HN40" i="30"/>
  <c r="HM40" i="30"/>
  <c r="GW40" i="30"/>
  <c r="GV40" i="30"/>
  <c r="GI40" i="30"/>
  <c r="GH40" i="30"/>
  <c r="FX40" i="30"/>
  <c r="FU40" i="30"/>
  <c r="FT40" i="30"/>
  <c r="FJ40" i="30"/>
  <c r="FI40" i="30"/>
  <c r="FH40" i="30"/>
  <c r="FG40" i="30"/>
  <c r="EZ40" i="30"/>
  <c r="EY40" i="30"/>
  <c r="EX40" i="30"/>
  <c r="EW40" i="30"/>
  <c r="EV40" i="30"/>
  <c r="EN40" i="30"/>
  <c r="EM40" i="30"/>
  <c r="EL40" i="30"/>
  <c r="EK40" i="30"/>
  <c r="EJ40" i="30"/>
  <c r="EI40" i="30"/>
  <c r="EH40" i="30"/>
  <c r="DX40" i="30"/>
  <c r="DW40" i="30"/>
  <c r="DV40" i="30"/>
  <c r="DU40" i="30"/>
  <c r="DT40" i="30"/>
  <c r="DS40" i="30"/>
  <c r="DR40" i="30"/>
  <c r="DQ40" i="30"/>
  <c r="DF40" i="30"/>
  <c r="DE40" i="30"/>
  <c r="DD40" i="30"/>
  <c r="DC40" i="30"/>
  <c r="DB40" i="30"/>
  <c r="DA40" i="30"/>
  <c r="CZ40" i="30"/>
  <c r="CY40" i="30"/>
  <c r="CN40" i="30"/>
  <c r="CM40" i="30"/>
  <c r="CL40" i="30"/>
  <c r="CK40" i="30"/>
  <c r="CJ40" i="30"/>
  <c r="CI40" i="30"/>
  <c r="CH40" i="30"/>
  <c r="CG40" i="30"/>
  <c r="BV40" i="30"/>
  <c r="BU40" i="30"/>
  <c r="BT40" i="30"/>
  <c r="BS40" i="30"/>
  <c r="BR40" i="30"/>
  <c r="BQ40" i="30"/>
  <c r="BP40" i="30"/>
  <c r="BO40" i="30"/>
  <c r="BD40" i="30"/>
  <c r="BC40" i="30"/>
  <c r="BB40" i="30"/>
  <c r="BA40" i="30"/>
  <c r="AZ40" i="30"/>
  <c r="AY40" i="30"/>
  <c r="AX40" i="30"/>
  <c r="AN40" i="30"/>
  <c r="AM40" i="30"/>
  <c r="AL40" i="30"/>
  <c r="AK40" i="30"/>
  <c r="AJ40" i="30"/>
  <c r="AI40" i="30"/>
  <c r="AH40" i="30"/>
  <c r="AG40" i="30"/>
  <c r="AF40" i="30"/>
  <c r="T40" i="30"/>
  <c r="S40" i="30"/>
  <c r="R40" i="30"/>
  <c r="Q40" i="30"/>
  <c r="P40" i="30"/>
  <c r="O40" i="30"/>
  <c r="N40" i="30"/>
  <c r="M40" i="30"/>
  <c r="IB38" i="30"/>
  <c r="IA38" i="30"/>
  <c r="HZ38" i="30"/>
  <c r="HN38" i="30"/>
  <c r="HM38" i="30"/>
  <c r="GW38" i="30"/>
  <c r="GV38" i="30"/>
  <c r="GI38" i="30"/>
  <c r="GH38" i="30"/>
  <c r="FX38" i="30"/>
  <c r="FU38" i="30"/>
  <c r="FT38" i="30"/>
  <c r="FJ38" i="30"/>
  <c r="FI38" i="30"/>
  <c r="FH38" i="30"/>
  <c r="FG38" i="30"/>
  <c r="EZ38" i="30"/>
  <c r="EY38" i="30"/>
  <c r="EX38" i="30"/>
  <c r="EW38" i="30"/>
  <c r="EV38" i="30"/>
  <c r="EN38" i="30"/>
  <c r="EM38" i="30"/>
  <c r="EL38" i="30"/>
  <c r="EK38" i="30"/>
  <c r="EJ38" i="30"/>
  <c r="EI38" i="30"/>
  <c r="EH38" i="30"/>
  <c r="DX38" i="30"/>
  <c r="DW38" i="30"/>
  <c r="DV38" i="30"/>
  <c r="DU38" i="30"/>
  <c r="DT38" i="30"/>
  <c r="DS38" i="30"/>
  <c r="DR38" i="30"/>
  <c r="DQ38" i="30"/>
  <c r="DF38" i="30"/>
  <c r="DE38" i="30"/>
  <c r="DD38" i="30"/>
  <c r="DC38" i="30"/>
  <c r="DB38" i="30"/>
  <c r="DA38" i="30"/>
  <c r="CZ38" i="30"/>
  <c r="CY38" i="30"/>
  <c r="CN38" i="30"/>
  <c r="CM38" i="30"/>
  <c r="CL38" i="30"/>
  <c r="CK38" i="30"/>
  <c r="CJ38" i="30"/>
  <c r="CI38" i="30"/>
  <c r="CH38" i="30"/>
  <c r="CG38" i="30"/>
  <c r="BV38" i="30"/>
  <c r="BU38" i="30"/>
  <c r="BT38" i="30"/>
  <c r="BS38" i="30"/>
  <c r="BR38" i="30"/>
  <c r="BQ38" i="30"/>
  <c r="BP38" i="30"/>
  <c r="BO38" i="30"/>
  <c r="BD38" i="30"/>
  <c r="BC38" i="30"/>
  <c r="BB38" i="30"/>
  <c r="BA38" i="30"/>
  <c r="AZ38" i="30"/>
  <c r="AY38" i="30"/>
  <c r="AX38" i="30"/>
  <c r="AN38" i="30"/>
  <c r="AM38" i="30"/>
  <c r="AL38" i="30"/>
  <c r="AK38" i="30"/>
  <c r="AJ38" i="30"/>
  <c r="AI38" i="30"/>
  <c r="AH38" i="30"/>
  <c r="AG38" i="30"/>
  <c r="AF38" i="30"/>
  <c r="T38" i="30"/>
  <c r="S38" i="30"/>
  <c r="R38" i="30"/>
  <c r="Q38" i="30"/>
  <c r="P38" i="30"/>
  <c r="O38" i="30"/>
  <c r="N38" i="30"/>
  <c r="M38" i="30"/>
  <c r="HZ37" i="30"/>
  <c r="HV37" i="30"/>
  <c r="IB37" i="30" s="1"/>
  <c r="HN37" i="30"/>
  <c r="HM37" i="30"/>
  <c r="GN37" i="30"/>
  <c r="GV37" i="30" s="1"/>
  <c r="FZ37" i="30"/>
  <c r="GL37" i="30" s="1"/>
  <c r="FX37" i="30"/>
  <c r="FU37" i="30"/>
  <c r="FT37" i="30"/>
  <c r="FJ37" i="30"/>
  <c r="FI37" i="30"/>
  <c r="FH37" i="30"/>
  <c r="FG37" i="30"/>
  <c r="EZ37" i="30"/>
  <c r="EY37" i="30"/>
  <c r="EX37" i="30"/>
  <c r="EW37" i="30"/>
  <c r="EV37" i="30"/>
  <c r="EN37" i="30"/>
  <c r="EM37" i="30"/>
  <c r="EL37" i="30"/>
  <c r="EK37" i="30"/>
  <c r="EJ37" i="30"/>
  <c r="EI37" i="30"/>
  <c r="EH37" i="30"/>
  <c r="DX37" i="30"/>
  <c r="DW37" i="30"/>
  <c r="DV37" i="30"/>
  <c r="DU37" i="30"/>
  <c r="DT37" i="30"/>
  <c r="DS37" i="30"/>
  <c r="DR37" i="30"/>
  <c r="DQ37" i="30"/>
  <c r="CY37" i="30"/>
  <c r="CP37" i="30"/>
  <c r="DF37" i="30" s="1"/>
  <c r="CN37" i="30"/>
  <c r="CM37" i="30"/>
  <c r="CL37" i="30"/>
  <c r="CK37" i="30"/>
  <c r="CJ37" i="30"/>
  <c r="CI37" i="30"/>
  <c r="CH37" i="30"/>
  <c r="CG37" i="30"/>
  <c r="BV37" i="30"/>
  <c r="BU37" i="30"/>
  <c r="BT37" i="30"/>
  <c r="BS37" i="30"/>
  <c r="BR37" i="30"/>
  <c r="BQ37" i="30"/>
  <c r="BP37" i="30"/>
  <c r="BO37" i="30"/>
  <c r="BD37" i="30"/>
  <c r="BC37" i="30"/>
  <c r="BB37" i="30"/>
  <c r="BA37" i="30"/>
  <c r="AZ37" i="30"/>
  <c r="AY37" i="30"/>
  <c r="AX37" i="30"/>
  <c r="AN37" i="30"/>
  <c r="AM37" i="30"/>
  <c r="AL37" i="30"/>
  <c r="AK37" i="30"/>
  <c r="AJ37" i="30"/>
  <c r="AI37" i="30"/>
  <c r="AH37" i="30"/>
  <c r="AG37" i="30"/>
  <c r="AF37" i="30"/>
  <c r="T37" i="30"/>
  <c r="S37" i="30"/>
  <c r="R37" i="30"/>
  <c r="Q37" i="30"/>
  <c r="P37" i="30"/>
  <c r="O37" i="30"/>
  <c r="N37" i="30"/>
  <c r="M37" i="30"/>
  <c r="HZ36" i="30"/>
  <c r="HV36" i="30"/>
  <c r="IA36" i="30" s="1"/>
  <c r="HN36" i="30"/>
  <c r="HM36" i="30"/>
  <c r="GN36" i="30"/>
  <c r="GZ36" i="30" s="1"/>
  <c r="FZ36" i="30"/>
  <c r="GI36" i="30" s="1"/>
  <c r="FX36" i="30"/>
  <c r="FU36" i="30"/>
  <c r="FT36" i="30"/>
  <c r="FJ36" i="30"/>
  <c r="FI36" i="30"/>
  <c r="FH36" i="30"/>
  <c r="FG36" i="30"/>
  <c r="EV36" i="30"/>
  <c r="EP36" i="30"/>
  <c r="EY36" i="30" s="1"/>
  <c r="EH36" i="30"/>
  <c r="DZ36" i="30"/>
  <c r="EK36" i="30" s="1"/>
  <c r="DX36" i="30"/>
  <c r="DW36" i="30"/>
  <c r="DV36" i="30"/>
  <c r="DU36" i="30"/>
  <c r="DT36" i="30"/>
  <c r="DS36" i="30"/>
  <c r="DR36" i="30"/>
  <c r="DQ36" i="30"/>
  <c r="CY36" i="30"/>
  <c r="CP36" i="30"/>
  <c r="DC36" i="30" s="1"/>
  <c r="CN36" i="30"/>
  <c r="CM36" i="30"/>
  <c r="CL36" i="30"/>
  <c r="CK36" i="30"/>
  <c r="CJ36" i="30"/>
  <c r="CI36" i="30"/>
  <c r="CH36" i="30"/>
  <c r="CG36" i="30"/>
  <c r="BV36" i="30"/>
  <c r="BU36" i="30"/>
  <c r="BT36" i="30"/>
  <c r="BS36" i="30"/>
  <c r="BR36" i="30"/>
  <c r="BQ36" i="30"/>
  <c r="BP36" i="30"/>
  <c r="BO36" i="30"/>
  <c r="BD36" i="30"/>
  <c r="BC36" i="30"/>
  <c r="BB36" i="30"/>
  <c r="BA36" i="30"/>
  <c r="AZ36" i="30"/>
  <c r="AY36" i="30"/>
  <c r="AX36" i="30"/>
  <c r="AN36" i="30"/>
  <c r="AM36" i="30"/>
  <c r="AL36" i="30"/>
  <c r="AK36" i="30"/>
  <c r="AJ36" i="30"/>
  <c r="AI36" i="30"/>
  <c r="AH36" i="30"/>
  <c r="AG36" i="30"/>
  <c r="AF36" i="30"/>
  <c r="T36" i="30"/>
  <c r="S36" i="30"/>
  <c r="R36" i="30"/>
  <c r="Q36" i="30"/>
  <c r="P36" i="30"/>
  <c r="O36" i="30"/>
  <c r="N36" i="30"/>
  <c r="M36" i="30"/>
  <c r="IB34" i="30"/>
  <c r="IA34" i="30"/>
  <c r="HZ34" i="30"/>
  <c r="HN34" i="30"/>
  <c r="HM34" i="30"/>
  <c r="GW34" i="30"/>
  <c r="GV34" i="30"/>
  <c r="GI34" i="30"/>
  <c r="GH34" i="30"/>
  <c r="FX34" i="30"/>
  <c r="FU34" i="30"/>
  <c r="FT34" i="30"/>
  <c r="FJ34" i="30"/>
  <c r="FI34" i="30"/>
  <c r="FH34" i="30"/>
  <c r="FG34" i="30"/>
  <c r="EZ34" i="30"/>
  <c r="EY34" i="30"/>
  <c r="EX34" i="30"/>
  <c r="EW34" i="30"/>
  <c r="EV34" i="30"/>
  <c r="EN34" i="30"/>
  <c r="EM34" i="30"/>
  <c r="EL34" i="30"/>
  <c r="EK34" i="30"/>
  <c r="EJ34" i="30"/>
  <c r="EI34" i="30"/>
  <c r="EH34" i="30"/>
  <c r="DX34" i="30"/>
  <c r="DW34" i="30"/>
  <c r="DV34" i="30"/>
  <c r="DU34" i="30"/>
  <c r="DT34" i="30"/>
  <c r="DS34" i="30"/>
  <c r="DR34" i="30"/>
  <c r="DQ34" i="30"/>
  <c r="DF34" i="30"/>
  <c r="DE34" i="30"/>
  <c r="DD34" i="30"/>
  <c r="DC34" i="30"/>
  <c r="DB34" i="30"/>
  <c r="DA34" i="30"/>
  <c r="CZ34" i="30"/>
  <c r="CY34" i="30"/>
  <c r="CN34" i="30"/>
  <c r="CM34" i="30"/>
  <c r="CL34" i="30"/>
  <c r="CK34" i="30"/>
  <c r="CJ34" i="30"/>
  <c r="CI34" i="30"/>
  <c r="CH34" i="30"/>
  <c r="CG34" i="30"/>
  <c r="BV34" i="30"/>
  <c r="BU34" i="30"/>
  <c r="BT34" i="30"/>
  <c r="BS34" i="30"/>
  <c r="BR34" i="30"/>
  <c r="BQ34" i="30"/>
  <c r="BP34" i="30"/>
  <c r="BO34" i="30"/>
  <c r="BD34" i="30"/>
  <c r="BC34" i="30"/>
  <c r="BB34" i="30"/>
  <c r="BA34" i="30"/>
  <c r="AZ34" i="30"/>
  <c r="AY34" i="30"/>
  <c r="AX34" i="30"/>
  <c r="AN34" i="30"/>
  <c r="AM34" i="30"/>
  <c r="AL34" i="30"/>
  <c r="AK34" i="30"/>
  <c r="AJ34" i="30"/>
  <c r="AI34" i="30"/>
  <c r="AH34" i="30"/>
  <c r="AG34" i="30"/>
  <c r="AF34" i="30"/>
  <c r="T34" i="30"/>
  <c r="S34" i="30"/>
  <c r="R34" i="30"/>
  <c r="Q34" i="30"/>
  <c r="P34" i="30"/>
  <c r="O34" i="30"/>
  <c r="N34" i="30"/>
  <c r="M34" i="30"/>
  <c r="IB33" i="30"/>
  <c r="IA33" i="30"/>
  <c r="HZ33" i="30"/>
  <c r="HN33" i="30"/>
  <c r="HM33" i="30"/>
  <c r="GW33" i="30"/>
  <c r="GV33" i="30"/>
  <c r="GI33" i="30"/>
  <c r="GH33" i="30"/>
  <c r="FL33" i="30"/>
  <c r="FV33" i="30" s="1"/>
  <c r="FG33" i="30"/>
  <c r="FB33" i="30"/>
  <c r="FI33" i="30" s="1"/>
  <c r="EZ33" i="30"/>
  <c r="EY33" i="30"/>
  <c r="EX33" i="30"/>
  <c r="EW33" i="30"/>
  <c r="EV33" i="30"/>
  <c r="EH33" i="30"/>
  <c r="DZ33" i="30"/>
  <c r="EK33" i="30" s="1"/>
  <c r="DX33" i="30"/>
  <c r="DW33" i="30"/>
  <c r="DV33" i="30"/>
  <c r="DU33" i="30"/>
  <c r="DT33" i="30"/>
  <c r="DS33" i="30"/>
  <c r="DR33" i="30"/>
  <c r="DQ33" i="30"/>
  <c r="DF33" i="30"/>
  <c r="DE33" i="30"/>
  <c r="DD33" i="30"/>
  <c r="DC33" i="30"/>
  <c r="DB33" i="30"/>
  <c r="DA33" i="30"/>
  <c r="CZ33" i="30"/>
  <c r="CY33" i="30"/>
  <c r="CN33" i="30"/>
  <c r="CM33" i="30"/>
  <c r="CL33" i="30"/>
  <c r="CK33" i="30"/>
  <c r="CJ33" i="30"/>
  <c r="CI33" i="30"/>
  <c r="CH33" i="30"/>
  <c r="CG33" i="30"/>
  <c r="BV33" i="30"/>
  <c r="BU33" i="30"/>
  <c r="BT33" i="30"/>
  <c r="BS33" i="30"/>
  <c r="BR33" i="30"/>
  <c r="BQ33" i="30"/>
  <c r="BP33" i="30"/>
  <c r="BO33" i="30"/>
  <c r="BD33" i="30"/>
  <c r="BC33" i="30"/>
  <c r="BB33" i="30"/>
  <c r="BA33" i="30"/>
  <c r="AZ33" i="30"/>
  <c r="AY33" i="30"/>
  <c r="AX33" i="30"/>
  <c r="AN33" i="30"/>
  <c r="AM33" i="30"/>
  <c r="AL33" i="30"/>
  <c r="AK33" i="30"/>
  <c r="AJ33" i="30"/>
  <c r="AI33" i="30"/>
  <c r="AH33" i="30"/>
  <c r="AG33" i="30"/>
  <c r="AF33" i="30"/>
  <c r="T33" i="30"/>
  <c r="S33" i="30"/>
  <c r="R33" i="30"/>
  <c r="Q33" i="30"/>
  <c r="P33" i="30"/>
  <c r="O33" i="30"/>
  <c r="N33" i="30"/>
  <c r="M33" i="30"/>
  <c r="IB29" i="30"/>
  <c r="IA29" i="30"/>
  <c r="HZ29" i="30"/>
  <c r="HN29" i="30"/>
  <c r="HM29" i="30"/>
  <c r="GW29" i="30"/>
  <c r="GV29" i="30"/>
  <c r="GI29" i="30"/>
  <c r="GH29" i="30"/>
  <c r="FX29" i="30"/>
  <c r="FU29" i="30"/>
  <c r="FT29" i="30"/>
  <c r="FJ29" i="30"/>
  <c r="FI29" i="30"/>
  <c r="FH29" i="30"/>
  <c r="FG29" i="30"/>
  <c r="EZ29" i="30"/>
  <c r="EY29" i="30"/>
  <c r="EX29" i="30"/>
  <c r="EW29" i="30"/>
  <c r="EV29" i="30"/>
  <c r="EN29" i="30"/>
  <c r="EM29" i="30"/>
  <c r="EL29" i="30"/>
  <c r="EK29" i="30"/>
  <c r="EJ29" i="30"/>
  <c r="EI29" i="30"/>
  <c r="EH29" i="30"/>
  <c r="DX29" i="30"/>
  <c r="DW29" i="30"/>
  <c r="DV29" i="30"/>
  <c r="DU29" i="30"/>
  <c r="DT29" i="30"/>
  <c r="DS29" i="30"/>
  <c r="DR29" i="30"/>
  <c r="DQ29" i="30"/>
  <c r="DF29" i="30"/>
  <c r="DE29" i="30"/>
  <c r="DD29" i="30"/>
  <c r="DC29" i="30"/>
  <c r="DB29" i="30"/>
  <c r="DA29" i="30"/>
  <c r="CZ29" i="30"/>
  <c r="CY29" i="30"/>
  <c r="BY29" i="30"/>
  <c r="CI29" i="30" s="1"/>
  <c r="BV29" i="30"/>
  <c r="BU29" i="30"/>
  <c r="BT29" i="30"/>
  <c r="BS29" i="30"/>
  <c r="BR29" i="30"/>
  <c r="BQ29" i="30"/>
  <c r="BP29" i="30"/>
  <c r="BO29" i="30"/>
  <c r="BD29" i="30"/>
  <c r="BC29" i="30"/>
  <c r="BB29" i="30"/>
  <c r="BA29" i="30"/>
  <c r="AZ29" i="30"/>
  <c r="AY29" i="30"/>
  <c r="AX29" i="30"/>
  <c r="AN29" i="30"/>
  <c r="AM29" i="30"/>
  <c r="AL29" i="30"/>
  <c r="AK29" i="30"/>
  <c r="AJ29" i="30"/>
  <c r="AI29" i="30"/>
  <c r="AH29" i="30"/>
  <c r="AG29" i="30"/>
  <c r="AF29" i="30"/>
  <c r="T29" i="30"/>
  <c r="S29" i="30"/>
  <c r="R29" i="30"/>
  <c r="Q29" i="30"/>
  <c r="P29" i="30"/>
  <c r="O29" i="30"/>
  <c r="N29" i="30"/>
  <c r="M29" i="30"/>
  <c r="IB28" i="30"/>
  <c r="IA28" i="30"/>
  <c r="HZ28" i="30"/>
  <c r="HN28" i="30"/>
  <c r="HM28" i="30"/>
  <c r="GW28" i="30"/>
  <c r="GV28" i="30"/>
  <c r="GI28" i="30"/>
  <c r="GH28" i="30"/>
  <c r="FX28" i="30"/>
  <c r="FU28" i="30"/>
  <c r="FT28" i="30"/>
  <c r="FJ28" i="30"/>
  <c r="FI28" i="30"/>
  <c r="FH28" i="30"/>
  <c r="FG28" i="30"/>
  <c r="EV28" i="30"/>
  <c r="EP28" i="30"/>
  <c r="EZ28" i="30" s="1"/>
  <c r="EH28" i="30"/>
  <c r="DZ28" i="30"/>
  <c r="EI28" i="30" s="1"/>
  <c r="DX28" i="30"/>
  <c r="DW28" i="30"/>
  <c r="DV28" i="30"/>
  <c r="DU28" i="30"/>
  <c r="DT28" i="30"/>
  <c r="DS28" i="30"/>
  <c r="DR28" i="30"/>
  <c r="DQ28" i="30"/>
  <c r="DF28" i="30"/>
  <c r="DE28" i="30"/>
  <c r="DD28" i="30"/>
  <c r="DC28" i="30"/>
  <c r="DB28" i="30"/>
  <c r="DA28" i="30"/>
  <c r="CZ28" i="30"/>
  <c r="CY28" i="30"/>
  <c r="CN28" i="30"/>
  <c r="CM28" i="30"/>
  <c r="CL28" i="30"/>
  <c r="CK28" i="30"/>
  <c r="CJ28" i="30"/>
  <c r="CI28" i="30"/>
  <c r="CH28" i="30"/>
  <c r="CG28" i="30"/>
  <c r="BV28" i="30"/>
  <c r="BU28" i="30"/>
  <c r="BT28" i="30"/>
  <c r="BS28" i="30"/>
  <c r="BR28" i="30"/>
  <c r="BQ28" i="30"/>
  <c r="BP28" i="30"/>
  <c r="BO28" i="30"/>
  <c r="BD28" i="30"/>
  <c r="BC28" i="30"/>
  <c r="BB28" i="30"/>
  <c r="BA28" i="30"/>
  <c r="AZ28" i="30"/>
  <c r="AY28" i="30"/>
  <c r="AX28" i="30"/>
  <c r="AN28" i="30"/>
  <c r="AM28" i="30"/>
  <c r="AL28" i="30"/>
  <c r="AK28" i="30"/>
  <c r="AJ28" i="30"/>
  <c r="AI28" i="30"/>
  <c r="AH28" i="30"/>
  <c r="AG28" i="30"/>
  <c r="AF28" i="30"/>
  <c r="T28" i="30"/>
  <c r="S28" i="30"/>
  <c r="R28" i="30"/>
  <c r="Q28" i="30"/>
  <c r="P28" i="30"/>
  <c r="O28" i="30"/>
  <c r="N28" i="30"/>
  <c r="M28" i="30"/>
  <c r="IB27" i="30"/>
  <c r="IA27" i="30"/>
  <c r="HZ27" i="30"/>
  <c r="HN27" i="30"/>
  <c r="HM27" i="30"/>
  <c r="GW27" i="30"/>
  <c r="GV27" i="30"/>
  <c r="GI27" i="30"/>
  <c r="GH27" i="30"/>
  <c r="FX27" i="30"/>
  <c r="FU27" i="30"/>
  <c r="FT27" i="30"/>
  <c r="FJ27" i="30"/>
  <c r="FI27" i="30"/>
  <c r="FH27" i="30"/>
  <c r="FG27" i="30"/>
  <c r="EZ27" i="30"/>
  <c r="EY27" i="30"/>
  <c r="EX27" i="30"/>
  <c r="EW27" i="30"/>
  <c r="EV27" i="30"/>
  <c r="EH27" i="30"/>
  <c r="DZ27" i="30"/>
  <c r="EJ27" i="30" s="1"/>
  <c r="DQ27" i="30"/>
  <c r="DH27" i="30"/>
  <c r="DW27" i="30" s="1"/>
  <c r="DF27" i="30"/>
  <c r="DE27" i="30"/>
  <c r="DD27" i="30"/>
  <c r="DC27" i="30"/>
  <c r="DB27" i="30"/>
  <c r="DA27" i="30"/>
  <c r="CZ27" i="30"/>
  <c r="CY27" i="30"/>
  <c r="CN27" i="30"/>
  <c r="CM27" i="30"/>
  <c r="CL27" i="30"/>
  <c r="CK27" i="30"/>
  <c r="CJ27" i="30"/>
  <c r="CI27" i="30"/>
  <c r="CH27" i="30"/>
  <c r="CG27" i="30"/>
  <c r="BV27" i="30"/>
  <c r="BU27" i="30"/>
  <c r="BT27" i="30"/>
  <c r="BS27" i="30"/>
  <c r="BR27" i="30"/>
  <c r="BQ27" i="30"/>
  <c r="BP27" i="30"/>
  <c r="BO27" i="30"/>
  <c r="BD27" i="30"/>
  <c r="BC27" i="30"/>
  <c r="BB27" i="30"/>
  <c r="BA27" i="30"/>
  <c r="AZ27" i="30"/>
  <c r="AY27" i="30"/>
  <c r="AX27" i="30"/>
  <c r="AN27" i="30"/>
  <c r="AM27" i="30"/>
  <c r="AL27" i="30"/>
  <c r="AK27" i="30"/>
  <c r="AJ27" i="30"/>
  <c r="AI27" i="30"/>
  <c r="AH27" i="30"/>
  <c r="AG27" i="30"/>
  <c r="AF27" i="30"/>
  <c r="T27" i="30"/>
  <c r="S27" i="30"/>
  <c r="R27" i="30"/>
  <c r="Q27" i="30"/>
  <c r="P27" i="30"/>
  <c r="O27" i="30"/>
  <c r="N27" i="30"/>
  <c r="M27" i="30"/>
  <c r="IB24" i="30"/>
  <c r="IA24" i="30"/>
  <c r="HZ24" i="30"/>
  <c r="HN24" i="30"/>
  <c r="HM24" i="30"/>
  <c r="GW24" i="30"/>
  <c r="GV24" i="30"/>
  <c r="GI24" i="30"/>
  <c r="GH24" i="30"/>
  <c r="FX24" i="30"/>
  <c r="FU24" i="30"/>
  <c r="FT24" i="30"/>
  <c r="FJ24" i="30"/>
  <c r="FI24" i="30"/>
  <c r="FH24" i="30"/>
  <c r="FG24" i="30"/>
  <c r="EZ24" i="30"/>
  <c r="EY24" i="30"/>
  <c r="EX24" i="30"/>
  <c r="EW24" i="30"/>
  <c r="EV24" i="30"/>
  <c r="EN24" i="30"/>
  <c r="EM24" i="30"/>
  <c r="EL24" i="30"/>
  <c r="EK24" i="30"/>
  <c r="EJ24" i="30"/>
  <c r="EI24" i="30"/>
  <c r="EH24" i="30"/>
  <c r="DX24" i="30"/>
  <c r="DW24" i="30"/>
  <c r="DV24" i="30"/>
  <c r="DU24" i="30"/>
  <c r="DT24" i="30"/>
  <c r="DS24" i="30"/>
  <c r="DR24" i="30"/>
  <c r="DQ24" i="30"/>
  <c r="DF24" i="30"/>
  <c r="DE24" i="30"/>
  <c r="DD24" i="30"/>
  <c r="DC24" i="30"/>
  <c r="DB24" i="30"/>
  <c r="DA24" i="30"/>
  <c r="CZ24" i="30"/>
  <c r="CY24" i="30"/>
  <c r="CN24" i="30"/>
  <c r="CM24" i="30"/>
  <c r="CL24" i="30"/>
  <c r="CK24" i="30"/>
  <c r="CJ24" i="30"/>
  <c r="CI24" i="30"/>
  <c r="CH24" i="30"/>
  <c r="CG24" i="30"/>
  <c r="BV24" i="30"/>
  <c r="BU24" i="30"/>
  <c r="BT24" i="30"/>
  <c r="BS24" i="30"/>
  <c r="BR24" i="30"/>
  <c r="BQ24" i="30"/>
  <c r="BP24" i="30"/>
  <c r="BO24" i="30"/>
  <c r="BD24" i="30"/>
  <c r="BC24" i="30"/>
  <c r="BB24" i="30"/>
  <c r="BA24" i="30"/>
  <c r="AZ24" i="30"/>
  <c r="AY24" i="30"/>
  <c r="AX24" i="30"/>
  <c r="AN24" i="30"/>
  <c r="AM24" i="30"/>
  <c r="AL24" i="30"/>
  <c r="AK24" i="30"/>
  <c r="AJ24" i="30"/>
  <c r="AI24" i="30"/>
  <c r="AH24" i="30"/>
  <c r="AG24" i="30"/>
  <c r="AF24" i="30"/>
  <c r="T24" i="30"/>
  <c r="S24" i="30"/>
  <c r="R24" i="30"/>
  <c r="Q24" i="30"/>
  <c r="P24" i="30"/>
  <c r="O24" i="30"/>
  <c r="N24" i="30"/>
  <c r="M24" i="30"/>
  <c r="HZ23" i="30"/>
  <c r="HV23" i="30"/>
  <c r="IB23" i="30" s="1"/>
  <c r="HN23" i="30"/>
  <c r="HM23" i="30"/>
  <c r="GN23" i="30"/>
  <c r="GX23" i="30" s="1"/>
  <c r="FZ23" i="30"/>
  <c r="GL23" i="30" s="1"/>
  <c r="FL23" i="30"/>
  <c r="FT23" i="30" s="1"/>
  <c r="FG23" i="30"/>
  <c r="FB23" i="30"/>
  <c r="FJ23" i="30" s="1"/>
  <c r="EZ23" i="30"/>
  <c r="EY23" i="30"/>
  <c r="EX23" i="30"/>
  <c r="EW23" i="30"/>
  <c r="EV23" i="30"/>
  <c r="EN23" i="30"/>
  <c r="EM23" i="30"/>
  <c r="EL23" i="30"/>
  <c r="EK23" i="30"/>
  <c r="EJ23" i="30"/>
  <c r="EI23" i="30"/>
  <c r="EH23" i="30"/>
  <c r="DX23" i="30"/>
  <c r="DW23" i="30"/>
  <c r="DV23" i="30"/>
  <c r="DU23" i="30"/>
  <c r="DT23" i="30"/>
  <c r="DS23" i="30"/>
  <c r="DR23" i="30"/>
  <c r="DQ23" i="30"/>
  <c r="DF23" i="30"/>
  <c r="DE23" i="30"/>
  <c r="DD23" i="30"/>
  <c r="DC23" i="30"/>
  <c r="DB23" i="30"/>
  <c r="DA23" i="30"/>
  <c r="CZ23" i="30"/>
  <c r="CY23" i="30"/>
  <c r="CN23" i="30"/>
  <c r="CM23" i="30"/>
  <c r="CL23" i="30"/>
  <c r="CK23" i="30"/>
  <c r="CJ23" i="30"/>
  <c r="CI23" i="30"/>
  <c r="CH23" i="30"/>
  <c r="CG23" i="30"/>
  <c r="BV23" i="30"/>
  <c r="BU23" i="30"/>
  <c r="BT23" i="30"/>
  <c r="BS23" i="30"/>
  <c r="BR23" i="30"/>
  <c r="BQ23" i="30"/>
  <c r="BP23" i="30"/>
  <c r="BO23" i="30"/>
  <c r="BD23" i="30"/>
  <c r="BC23" i="30"/>
  <c r="BB23" i="30"/>
  <c r="BA23" i="30"/>
  <c r="AZ23" i="30"/>
  <c r="AY23" i="30"/>
  <c r="AX23" i="30"/>
  <c r="AN23" i="30"/>
  <c r="AM23" i="30"/>
  <c r="AL23" i="30"/>
  <c r="AK23" i="30"/>
  <c r="AJ23" i="30"/>
  <c r="AI23" i="30"/>
  <c r="AH23" i="30"/>
  <c r="AG23" i="30"/>
  <c r="AF23" i="30"/>
  <c r="T23" i="30"/>
  <c r="S23" i="30"/>
  <c r="R23" i="30"/>
  <c r="Q23" i="30"/>
  <c r="P23" i="30"/>
  <c r="O23" i="30"/>
  <c r="N23" i="30"/>
  <c r="M23" i="30"/>
  <c r="IB22" i="30"/>
  <c r="IA22" i="30"/>
  <c r="HZ22" i="30"/>
  <c r="HN22" i="30"/>
  <c r="HM22" i="30"/>
  <c r="GW22" i="30"/>
  <c r="GV22" i="30"/>
  <c r="GI22" i="30"/>
  <c r="GH22" i="30"/>
  <c r="FX22" i="30"/>
  <c r="FU22" i="30"/>
  <c r="FT22" i="30"/>
  <c r="FJ22" i="30"/>
  <c r="FI22" i="30"/>
  <c r="FH22" i="30"/>
  <c r="FG22" i="30"/>
  <c r="EZ22" i="30"/>
  <c r="EY22" i="30"/>
  <c r="EX22" i="30"/>
  <c r="EW22" i="30"/>
  <c r="EV22" i="30"/>
  <c r="EN22" i="30"/>
  <c r="EM22" i="30"/>
  <c r="EL22" i="30"/>
  <c r="EK22" i="30"/>
  <c r="EJ22" i="30"/>
  <c r="EI22" i="30"/>
  <c r="EH22" i="30"/>
  <c r="DX22" i="30"/>
  <c r="DW22" i="30"/>
  <c r="DV22" i="30"/>
  <c r="DU22" i="30"/>
  <c r="DT22" i="30"/>
  <c r="DS22" i="30"/>
  <c r="DR22" i="30"/>
  <c r="DQ22" i="30"/>
  <c r="DF22" i="30"/>
  <c r="DE22" i="30"/>
  <c r="DD22" i="30"/>
  <c r="DC22" i="30"/>
  <c r="DB22" i="30"/>
  <c r="DA22" i="30"/>
  <c r="CZ22" i="30"/>
  <c r="CY22" i="30"/>
  <c r="CN22" i="30"/>
  <c r="CM22" i="30"/>
  <c r="CL22" i="30"/>
  <c r="CK22" i="30"/>
  <c r="CJ22" i="30"/>
  <c r="CI22" i="30"/>
  <c r="CH22" i="30"/>
  <c r="CG22" i="30"/>
  <c r="BV22" i="30"/>
  <c r="BU22" i="30"/>
  <c r="BT22" i="30"/>
  <c r="BS22" i="30"/>
  <c r="BR22" i="30"/>
  <c r="BQ22" i="30"/>
  <c r="BP22" i="30"/>
  <c r="BO22" i="30"/>
  <c r="BD22" i="30"/>
  <c r="BC22" i="30"/>
  <c r="BB22" i="30"/>
  <c r="BA22" i="30"/>
  <c r="AZ22" i="30"/>
  <c r="AY22" i="30"/>
  <c r="AX22" i="30"/>
  <c r="AN22" i="30"/>
  <c r="AM22" i="30"/>
  <c r="AL22" i="30"/>
  <c r="AK22" i="30"/>
  <c r="AJ22" i="30"/>
  <c r="AI22" i="30"/>
  <c r="AH22" i="30"/>
  <c r="AG22" i="30"/>
  <c r="AF22" i="30"/>
  <c r="T22" i="30"/>
  <c r="S22" i="30"/>
  <c r="R22" i="30"/>
  <c r="Q22" i="30"/>
  <c r="P22" i="30"/>
  <c r="O22" i="30"/>
  <c r="N22" i="30"/>
  <c r="M22" i="30"/>
  <c r="HZ20" i="30"/>
  <c r="HV20" i="30"/>
  <c r="IB20" i="30" s="1"/>
  <c r="HN20" i="30"/>
  <c r="HM20" i="30"/>
  <c r="GN20" i="30"/>
  <c r="GX20" i="30" s="1"/>
  <c r="FZ20" i="30"/>
  <c r="GK20" i="30" s="1"/>
  <c r="FX20" i="30"/>
  <c r="FU20" i="30"/>
  <c r="FT20" i="30"/>
  <c r="FJ20" i="30"/>
  <c r="FI20" i="30"/>
  <c r="FH20" i="30"/>
  <c r="FG20" i="30"/>
  <c r="EV20" i="30"/>
  <c r="EP20" i="30"/>
  <c r="EZ20" i="30" s="1"/>
  <c r="EN20" i="30"/>
  <c r="EM20" i="30"/>
  <c r="EL20" i="30"/>
  <c r="EK20" i="30"/>
  <c r="EJ20" i="30"/>
  <c r="EI20" i="30"/>
  <c r="EH20" i="30"/>
  <c r="DQ20" i="30"/>
  <c r="DH20" i="30"/>
  <c r="DS20" i="30" s="1"/>
  <c r="DF20" i="30"/>
  <c r="DE20" i="30"/>
  <c r="DD20" i="30"/>
  <c r="DC20" i="30"/>
  <c r="DB20" i="30"/>
  <c r="DA20" i="30"/>
  <c r="CZ20" i="30"/>
  <c r="CY20" i="30"/>
  <c r="CN20" i="30"/>
  <c r="CM20" i="30"/>
  <c r="CL20" i="30"/>
  <c r="CK20" i="30"/>
  <c r="CJ20" i="30"/>
  <c r="CI20" i="30"/>
  <c r="CH20" i="30"/>
  <c r="CG20" i="30"/>
  <c r="BV20" i="30"/>
  <c r="BU20" i="30"/>
  <c r="BT20" i="30"/>
  <c r="BS20" i="30"/>
  <c r="BR20" i="30"/>
  <c r="BQ20" i="30"/>
  <c r="BP20" i="30"/>
  <c r="BO20" i="30"/>
  <c r="BD20" i="30"/>
  <c r="BC20" i="30"/>
  <c r="BB20" i="30"/>
  <c r="BA20" i="30"/>
  <c r="AZ20" i="30"/>
  <c r="AY20" i="30"/>
  <c r="AX20" i="30"/>
  <c r="AN20" i="30"/>
  <c r="AM20" i="30"/>
  <c r="AL20" i="30"/>
  <c r="AK20" i="30"/>
  <c r="AJ20" i="30"/>
  <c r="AI20" i="30"/>
  <c r="AH20" i="30"/>
  <c r="AG20" i="30"/>
  <c r="AF20" i="30"/>
  <c r="T20" i="30"/>
  <c r="S20" i="30"/>
  <c r="R20" i="30"/>
  <c r="Q20" i="30"/>
  <c r="P20" i="30"/>
  <c r="O20" i="30"/>
  <c r="N20" i="30"/>
  <c r="M20" i="30"/>
  <c r="IB17" i="30"/>
  <c r="IA17" i="30"/>
  <c r="HZ17" i="30"/>
  <c r="HN17" i="30"/>
  <c r="HM17" i="30"/>
  <c r="GW17" i="30"/>
  <c r="GV17" i="30"/>
  <c r="GI17" i="30"/>
  <c r="GH17" i="30"/>
  <c r="FX17" i="30"/>
  <c r="FU17" i="30"/>
  <c r="FT17" i="30"/>
  <c r="FJ17" i="30"/>
  <c r="FI17" i="30"/>
  <c r="FH17" i="30"/>
  <c r="FG17" i="30"/>
  <c r="EZ17" i="30"/>
  <c r="EY17" i="30"/>
  <c r="EX17" i="30"/>
  <c r="EW17" i="30"/>
  <c r="EV17" i="30"/>
  <c r="EN17" i="30"/>
  <c r="EM17" i="30"/>
  <c r="EL17" i="30"/>
  <c r="EK17" i="30"/>
  <c r="EJ17" i="30"/>
  <c r="EI17" i="30"/>
  <c r="EH17" i="30"/>
  <c r="DX17" i="30"/>
  <c r="DW17" i="30"/>
  <c r="DV17" i="30"/>
  <c r="DU17" i="30"/>
  <c r="DT17" i="30"/>
  <c r="DS17" i="30"/>
  <c r="DR17" i="30"/>
  <c r="DQ17" i="30"/>
  <c r="DF17" i="30"/>
  <c r="DE17" i="30"/>
  <c r="DD17" i="30"/>
  <c r="DC17" i="30"/>
  <c r="DB17" i="30"/>
  <c r="DA17" i="30"/>
  <c r="CZ17" i="30"/>
  <c r="CY17" i="30"/>
  <c r="CN17" i="30"/>
  <c r="CM17" i="30"/>
  <c r="CL17" i="30"/>
  <c r="CK17" i="30"/>
  <c r="CJ17" i="30"/>
  <c r="CI17" i="30"/>
  <c r="CH17" i="30"/>
  <c r="CG17" i="30"/>
  <c r="BV17" i="30"/>
  <c r="BU17" i="30"/>
  <c r="BT17" i="30"/>
  <c r="BS17" i="30"/>
  <c r="BR17" i="30"/>
  <c r="BQ17" i="30"/>
  <c r="BP17" i="30"/>
  <c r="BO17" i="30"/>
  <c r="BD17" i="30"/>
  <c r="BC17" i="30"/>
  <c r="BB17" i="30"/>
  <c r="BA17" i="30"/>
  <c r="AZ17" i="30"/>
  <c r="AY17" i="30"/>
  <c r="AX17" i="30"/>
  <c r="AN17" i="30"/>
  <c r="AM17" i="30"/>
  <c r="AL17" i="30"/>
  <c r="AK17" i="30"/>
  <c r="AJ17" i="30"/>
  <c r="AI17" i="30"/>
  <c r="AH17" i="30"/>
  <c r="AG17" i="30"/>
  <c r="AF17" i="30"/>
  <c r="T17" i="30"/>
  <c r="S17" i="30"/>
  <c r="R17" i="30"/>
  <c r="Q17" i="30"/>
  <c r="P17" i="30"/>
  <c r="O17" i="30"/>
  <c r="N17" i="30"/>
  <c r="M17" i="30"/>
  <c r="IB16" i="30"/>
  <c r="IA16" i="30"/>
  <c r="HZ16" i="30"/>
  <c r="HN16" i="30"/>
  <c r="HM16" i="30"/>
  <c r="GW16" i="30"/>
  <c r="GV16" i="30"/>
  <c r="GI16" i="30"/>
  <c r="GH16" i="30"/>
  <c r="FX16" i="30"/>
  <c r="FU16" i="30"/>
  <c r="FT16" i="30"/>
  <c r="FJ16" i="30"/>
  <c r="FI16" i="30"/>
  <c r="FH16" i="30"/>
  <c r="FG16" i="30"/>
  <c r="EZ16" i="30"/>
  <c r="EY16" i="30"/>
  <c r="EX16" i="30"/>
  <c r="EW16" i="30"/>
  <c r="EV16" i="30"/>
  <c r="EN16" i="30"/>
  <c r="EM16" i="30"/>
  <c r="EL16" i="30"/>
  <c r="EK16" i="30"/>
  <c r="EJ16" i="30"/>
  <c r="EI16" i="30"/>
  <c r="EH16" i="30"/>
  <c r="DX16" i="30"/>
  <c r="DW16" i="30"/>
  <c r="DV16" i="30"/>
  <c r="DU16" i="30"/>
  <c r="DT16" i="30"/>
  <c r="DS16" i="30"/>
  <c r="DR16" i="30"/>
  <c r="DQ16" i="30"/>
  <c r="DF16" i="30"/>
  <c r="DE16" i="30"/>
  <c r="DD16" i="30"/>
  <c r="DC16" i="30"/>
  <c r="DB16" i="30"/>
  <c r="DA16" i="30"/>
  <c r="CZ16" i="30"/>
  <c r="CY16" i="30"/>
  <c r="CN16" i="30"/>
  <c r="CM16" i="30"/>
  <c r="CL16" i="30"/>
  <c r="CK16" i="30"/>
  <c r="CJ16" i="30"/>
  <c r="CI16" i="30"/>
  <c r="CH16" i="30"/>
  <c r="CG16" i="30"/>
  <c r="BV16" i="30"/>
  <c r="BU16" i="30"/>
  <c r="BT16" i="30"/>
  <c r="BS16" i="30"/>
  <c r="BR16" i="30"/>
  <c r="BQ16" i="30"/>
  <c r="BP16" i="30"/>
  <c r="BO16" i="30"/>
  <c r="BD16" i="30"/>
  <c r="BC16" i="30"/>
  <c r="BB16" i="30"/>
  <c r="BA16" i="30"/>
  <c r="AZ16" i="30"/>
  <c r="AY16" i="30"/>
  <c r="AX16" i="30"/>
  <c r="AN16" i="30"/>
  <c r="AM16" i="30"/>
  <c r="AL16" i="30"/>
  <c r="AK16" i="30"/>
  <c r="AJ16" i="30"/>
  <c r="AI16" i="30"/>
  <c r="AH16" i="30"/>
  <c r="AG16" i="30"/>
  <c r="AF16" i="30"/>
  <c r="T16" i="30"/>
  <c r="S16" i="30"/>
  <c r="R16" i="30"/>
  <c r="Q16" i="30"/>
  <c r="P16" i="30"/>
  <c r="O16" i="30"/>
  <c r="N16" i="30"/>
  <c r="M16" i="30"/>
  <c r="IB12" i="30"/>
  <c r="IA12" i="30"/>
  <c r="HZ12" i="30"/>
  <c r="HN12" i="30"/>
  <c r="HM12" i="30"/>
  <c r="GW12" i="30"/>
  <c r="GV12" i="30"/>
  <c r="GI12" i="30"/>
  <c r="GH12" i="30"/>
  <c r="FX12" i="30"/>
  <c r="FU12" i="30"/>
  <c r="FT12" i="30"/>
  <c r="FJ12" i="30"/>
  <c r="FI12" i="30"/>
  <c r="FH12" i="30"/>
  <c r="FG12" i="30"/>
  <c r="EQ12" i="30"/>
  <c r="EQ68" i="30" s="1"/>
  <c r="EN12" i="30"/>
  <c r="EM12" i="30"/>
  <c r="EL12" i="30"/>
  <c r="EK12" i="30"/>
  <c r="EJ12" i="30"/>
  <c r="EI12" i="30"/>
  <c r="EH12" i="30"/>
  <c r="DX12" i="30"/>
  <c r="DW12" i="30"/>
  <c r="DV12" i="30"/>
  <c r="DU12" i="30"/>
  <c r="DT12" i="30"/>
  <c r="DS12" i="30"/>
  <c r="DR12" i="30"/>
  <c r="DQ12" i="30"/>
  <c r="DF12" i="30"/>
  <c r="DE12" i="30"/>
  <c r="DD12" i="30"/>
  <c r="DC12" i="30"/>
  <c r="DB12" i="30"/>
  <c r="DA12" i="30"/>
  <c r="CZ12" i="30"/>
  <c r="CY12" i="30"/>
  <c r="CN12" i="30"/>
  <c r="CM12" i="30"/>
  <c r="CL12" i="30"/>
  <c r="CK12" i="30"/>
  <c r="CJ12" i="30"/>
  <c r="CI12" i="30"/>
  <c r="CH12" i="30"/>
  <c r="CG12" i="30"/>
  <c r="BV12" i="30"/>
  <c r="BU12" i="30"/>
  <c r="BT12" i="30"/>
  <c r="BS12" i="30"/>
  <c r="BR12" i="30"/>
  <c r="BQ12" i="30"/>
  <c r="BP12" i="30"/>
  <c r="BO12" i="30"/>
  <c r="BD12" i="30"/>
  <c r="BC12" i="30"/>
  <c r="BB12" i="30"/>
  <c r="BA12" i="30"/>
  <c r="AZ12" i="30"/>
  <c r="AY12" i="30"/>
  <c r="AX12" i="30"/>
  <c r="AN12" i="30"/>
  <c r="AM12" i="30"/>
  <c r="AL12" i="30"/>
  <c r="AK12" i="30"/>
  <c r="AJ12" i="30"/>
  <c r="AI12" i="30"/>
  <c r="AH12" i="30"/>
  <c r="AG12" i="30"/>
  <c r="AF12" i="30"/>
  <c r="T12" i="30"/>
  <c r="S12" i="30"/>
  <c r="R12" i="30"/>
  <c r="Q12" i="30"/>
  <c r="P12" i="30"/>
  <c r="O12" i="30"/>
  <c r="N12" i="30"/>
  <c r="M12" i="30"/>
  <c r="IB11" i="30"/>
  <c r="IA11" i="30"/>
  <c r="HZ11" i="30"/>
  <c r="HN11" i="30"/>
  <c r="HM11" i="30"/>
  <c r="GW11" i="30"/>
  <c r="GV11" i="30"/>
  <c r="GI11" i="30"/>
  <c r="GH11" i="30"/>
  <c r="FX11" i="30"/>
  <c r="FU11" i="30"/>
  <c r="FT11" i="30"/>
  <c r="FJ11" i="30"/>
  <c r="FI11" i="30"/>
  <c r="FH11" i="30"/>
  <c r="FG11" i="30"/>
  <c r="EZ11" i="30"/>
  <c r="EY11" i="30"/>
  <c r="EX11" i="30"/>
  <c r="EW11" i="30"/>
  <c r="EV11" i="30"/>
  <c r="EN11" i="30"/>
  <c r="EM11" i="30"/>
  <c r="EL11" i="30"/>
  <c r="EK11" i="30"/>
  <c r="EJ11" i="30"/>
  <c r="EI11" i="30"/>
  <c r="EH11" i="30"/>
  <c r="DX11" i="30"/>
  <c r="DW11" i="30"/>
  <c r="DV11" i="30"/>
  <c r="DU11" i="30"/>
  <c r="DT11" i="30"/>
  <c r="DS11" i="30"/>
  <c r="DR11" i="30"/>
  <c r="DQ11" i="30"/>
  <c r="DF11" i="30"/>
  <c r="DE11" i="30"/>
  <c r="DD11" i="30"/>
  <c r="DC11" i="30"/>
  <c r="DB11" i="30"/>
  <c r="DA11" i="30"/>
  <c r="CZ11" i="30"/>
  <c r="CY11" i="30"/>
  <c r="CN11" i="30"/>
  <c r="CM11" i="30"/>
  <c r="CL11" i="30"/>
  <c r="CK11" i="30"/>
  <c r="CJ11" i="30"/>
  <c r="CI11" i="30"/>
  <c r="CH11" i="30"/>
  <c r="CG11" i="30"/>
  <c r="BV11" i="30"/>
  <c r="BU11" i="30"/>
  <c r="BT11" i="30"/>
  <c r="BS11" i="30"/>
  <c r="BR11" i="30"/>
  <c r="BQ11" i="30"/>
  <c r="BP11" i="30"/>
  <c r="BO11" i="30"/>
  <c r="BD11" i="30"/>
  <c r="BC11" i="30"/>
  <c r="BB11" i="30"/>
  <c r="BA11" i="30"/>
  <c r="AZ11" i="30"/>
  <c r="AY11" i="30"/>
  <c r="AX11" i="30"/>
  <c r="AN11" i="30"/>
  <c r="AM11" i="30"/>
  <c r="AL11" i="30"/>
  <c r="AK11" i="30"/>
  <c r="AJ11" i="30"/>
  <c r="AI11" i="30"/>
  <c r="AH11" i="30"/>
  <c r="AG11" i="30"/>
  <c r="AF11" i="30"/>
  <c r="T11" i="30"/>
  <c r="S11" i="30"/>
  <c r="R11" i="30"/>
  <c r="Q11" i="30"/>
  <c r="P11" i="30"/>
  <c r="O11" i="30"/>
  <c r="N11" i="30"/>
  <c r="M11" i="30"/>
  <c r="IB10" i="30"/>
  <c r="IA10" i="30"/>
  <c r="HZ10" i="30"/>
  <c r="HN10" i="30"/>
  <c r="HM10" i="30"/>
  <c r="GW10" i="30"/>
  <c r="GV10" i="30"/>
  <c r="GI10" i="30"/>
  <c r="GH10" i="30"/>
  <c r="FX10" i="30"/>
  <c r="FU10" i="30"/>
  <c r="FT10" i="30"/>
  <c r="FJ10" i="30"/>
  <c r="FI10" i="30"/>
  <c r="FH10" i="30"/>
  <c r="FG10" i="30"/>
  <c r="EZ10" i="30"/>
  <c r="EY10" i="30"/>
  <c r="EX10" i="30"/>
  <c r="EW10" i="30"/>
  <c r="EV10" i="30"/>
  <c r="EN10" i="30"/>
  <c r="EM10" i="30"/>
  <c r="EL10" i="30"/>
  <c r="EK10" i="30"/>
  <c r="EJ10" i="30"/>
  <c r="EI10" i="30"/>
  <c r="EH10" i="30"/>
  <c r="DX10" i="30"/>
  <c r="DW10" i="30"/>
  <c r="DV10" i="30"/>
  <c r="DU10" i="30"/>
  <c r="DT10" i="30"/>
  <c r="DS10" i="30"/>
  <c r="DR10" i="30"/>
  <c r="DQ10" i="30"/>
  <c r="DF10" i="30"/>
  <c r="DE10" i="30"/>
  <c r="DD10" i="30"/>
  <c r="DC10" i="30"/>
  <c r="DB10" i="30"/>
  <c r="DA10" i="30"/>
  <c r="CZ10" i="30"/>
  <c r="CY10" i="30"/>
  <c r="BY10" i="30"/>
  <c r="CG10" i="30" s="1"/>
  <c r="BV10" i="30"/>
  <c r="BU10" i="30"/>
  <c r="BT10" i="30"/>
  <c r="BS10" i="30"/>
  <c r="BR10" i="30"/>
  <c r="BQ10" i="30"/>
  <c r="BP10" i="30"/>
  <c r="BO10" i="30"/>
  <c r="AX10" i="30"/>
  <c r="AP10" i="30"/>
  <c r="BC10" i="30" s="1"/>
  <c r="AN10" i="30"/>
  <c r="AM10" i="30"/>
  <c r="AL10" i="30"/>
  <c r="AK10" i="30"/>
  <c r="AJ10" i="30"/>
  <c r="AI10" i="30"/>
  <c r="AH10" i="30"/>
  <c r="AG10" i="30"/>
  <c r="AF10" i="30"/>
  <c r="T10" i="30"/>
  <c r="S10" i="30"/>
  <c r="R10" i="30"/>
  <c r="Q10" i="30"/>
  <c r="P10" i="30"/>
  <c r="O10" i="30"/>
  <c r="N10" i="30"/>
  <c r="M10" i="30"/>
  <c r="HZ18" i="30"/>
  <c r="HV18" i="30"/>
  <c r="HN18" i="30"/>
  <c r="HM18" i="30"/>
  <c r="GI18" i="30"/>
  <c r="GH18" i="30"/>
  <c r="FX18" i="30"/>
  <c r="FU18" i="30"/>
  <c r="FT18" i="30"/>
  <c r="FJ18" i="30"/>
  <c r="FI18" i="30"/>
  <c r="FH18" i="30"/>
  <c r="FG18" i="30"/>
  <c r="EZ18" i="30"/>
  <c r="EY18" i="30"/>
  <c r="EX18" i="30"/>
  <c r="EW18" i="30"/>
  <c r="EV18" i="30"/>
  <c r="EN18" i="30"/>
  <c r="EM18" i="30"/>
  <c r="EL18" i="30"/>
  <c r="EK18" i="30"/>
  <c r="EJ18" i="30"/>
  <c r="EI18" i="30"/>
  <c r="EH18" i="30"/>
  <c r="DX18" i="30"/>
  <c r="DW18" i="30"/>
  <c r="DV18" i="30"/>
  <c r="DU18" i="30"/>
  <c r="DT18" i="30"/>
  <c r="DS18" i="30"/>
  <c r="DR18" i="30"/>
  <c r="DQ18" i="30"/>
  <c r="DF18" i="30"/>
  <c r="DE18" i="30"/>
  <c r="DD18" i="30"/>
  <c r="DC18" i="30"/>
  <c r="DB18" i="30"/>
  <c r="DA18" i="30"/>
  <c r="CZ18" i="30"/>
  <c r="CY18" i="30"/>
  <c r="CN18" i="30"/>
  <c r="CM18" i="30"/>
  <c r="CL18" i="30"/>
  <c r="CK18" i="30"/>
  <c r="CJ18" i="30"/>
  <c r="CI18" i="30"/>
  <c r="CH18" i="30"/>
  <c r="CG18" i="30"/>
  <c r="BV18" i="30"/>
  <c r="BU18" i="30"/>
  <c r="BT18" i="30"/>
  <c r="BS18" i="30"/>
  <c r="BR18" i="30"/>
  <c r="BQ18" i="30"/>
  <c r="BP18" i="30"/>
  <c r="BO18" i="30"/>
  <c r="BD18" i="30"/>
  <c r="BC18" i="30"/>
  <c r="BB18" i="30"/>
  <c r="BA18" i="30"/>
  <c r="AZ18" i="30"/>
  <c r="AY18" i="30"/>
  <c r="AX18" i="30"/>
  <c r="AN18" i="30"/>
  <c r="AM18" i="30"/>
  <c r="AL18" i="30"/>
  <c r="AK18" i="30"/>
  <c r="AJ18" i="30"/>
  <c r="AI18" i="30"/>
  <c r="AH18" i="30"/>
  <c r="AG18" i="30"/>
  <c r="AF18" i="30"/>
  <c r="T18" i="30"/>
  <c r="S18" i="30"/>
  <c r="R18" i="30"/>
  <c r="Q18" i="30"/>
  <c r="P18" i="30"/>
  <c r="O18" i="30"/>
  <c r="N18" i="30"/>
  <c r="M18" i="30"/>
  <c r="IB9" i="30"/>
  <c r="IA9" i="30"/>
  <c r="HZ9" i="30"/>
  <c r="HN9" i="30"/>
  <c r="HM9" i="30"/>
  <c r="GW9" i="30"/>
  <c r="GV9" i="30"/>
  <c r="FX9" i="30"/>
  <c r="FU9" i="30"/>
  <c r="FT9" i="30"/>
  <c r="FJ9" i="30"/>
  <c r="FI9" i="30"/>
  <c r="FH9" i="30"/>
  <c r="FG9" i="30"/>
  <c r="EZ9" i="30"/>
  <c r="EY9" i="30"/>
  <c r="EX9" i="30"/>
  <c r="EW9" i="30"/>
  <c r="EV9" i="30"/>
  <c r="EN9" i="30"/>
  <c r="EM9" i="30"/>
  <c r="EL9" i="30"/>
  <c r="EK9" i="30"/>
  <c r="EJ9" i="30"/>
  <c r="EI9" i="30"/>
  <c r="EH9" i="30"/>
  <c r="DX9" i="30"/>
  <c r="DW9" i="30"/>
  <c r="DV9" i="30"/>
  <c r="DU9" i="30"/>
  <c r="DT9" i="30"/>
  <c r="DS9" i="30"/>
  <c r="DR9" i="30"/>
  <c r="DQ9" i="30"/>
  <c r="DF9" i="30"/>
  <c r="DE9" i="30"/>
  <c r="DD9" i="30"/>
  <c r="DC9" i="30"/>
  <c r="DB9" i="30"/>
  <c r="DA9" i="30"/>
  <c r="CZ9" i="30"/>
  <c r="CY9" i="30"/>
  <c r="CN9" i="30"/>
  <c r="CM9" i="30"/>
  <c r="CL9" i="30"/>
  <c r="CK9" i="30"/>
  <c r="CJ9" i="30"/>
  <c r="CI9" i="30"/>
  <c r="CH9" i="30"/>
  <c r="CG9" i="30"/>
  <c r="BV9" i="30"/>
  <c r="BU9" i="30"/>
  <c r="BT9" i="30"/>
  <c r="BS9" i="30"/>
  <c r="BR9" i="30"/>
  <c r="BQ9" i="30"/>
  <c r="BP9" i="30"/>
  <c r="BO9" i="30"/>
  <c r="BD9" i="30"/>
  <c r="BC9" i="30"/>
  <c r="BB9" i="30"/>
  <c r="BA9" i="30"/>
  <c r="AZ9" i="30"/>
  <c r="AY9" i="30"/>
  <c r="AX9" i="30"/>
  <c r="AN9" i="30"/>
  <c r="AM9" i="30"/>
  <c r="AL9" i="30"/>
  <c r="AK9" i="30"/>
  <c r="AJ9" i="30"/>
  <c r="AI9" i="30"/>
  <c r="AH9" i="30"/>
  <c r="AG9" i="30"/>
  <c r="AF9" i="30"/>
  <c r="T9" i="30"/>
  <c r="S9" i="30"/>
  <c r="R9" i="30"/>
  <c r="Q9" i="30"/>
  <c r="P9" i="30"/>
  <c r="O9" i="30"/>
  <c r="N9" i="30"/>
  <c r="M9" i="30"/>
  <c r="IB6" i="30"/>
  <c r="IA6" i="30"/>
  <c r="HZ6" i="30"/>
  <c r="HN6" i="30"/>
  <c r="HM6" i="30"/>
  <c r="GW6" i="30"/>
  <c r="GV6" i="30"/>
  <c r="GI6" i="30"/>
  <c r="GH6" i="30"/>
  <c r="FX6" i="30"/>
  <c r="FU6" i="30"/>
  <c r="FT6" i="30"/>
  <c r="FJ6" i="30"/>
  <c r="FI6" i="30"/>
  <c r="FH6" i="30"/>
  <c r="FG6" i="30"/>
  <c r="EZ6" i="30"/>
  <c r="EY6" i="30"/>
  <c r="EX6" i="30"/>
  <c r="EW6" i="30"/>
  <c r="EV6" i="30"/>
  <c r="EN6" i="30"/>
  <c r="EM6" i="30"/>
  <c r="EL6" i="30"/>
  <c r="EK6" i="30"/>
  <c r="EJ6" i="30"/>
  <c r="EI6" i="30"/>
  <c r="EH6" i="30"/>
  <c r="DX6" i="30"/>
  <c r="DW6" i="30"/>
  <c r="DV6" i="30"/>
  <c r="DU6" i="30"/>
  <c r="DT6" i="30"/>
  <c r="DS6" i="30"/>
  <c r="DR6" i="30"/>
  <c r="DQ6" i="30"/>
  <c r="CY6" i="30"/>
  <c r="CP6" i="30"/>
  <c r="DB6" i="30" s="1"/>
  <c r="CN6" i="30"/>
  <c r="CM6" i="30"/>
  <c r="CL6" i="30"/>
  <c r="CK6" i="30"/>
  <c r="CJ6" i="30"/>
  <c r="CI6" i="30"/>
  <c r="CH6" i="30"/>
  <c r="CG6" i="30"/>
  <c r="BV6" i="30"/>
  <c r="BU6" i="30"/>
  <c r="BT6" i="30"/>
  <c r="BS6" i="30"/>
  <c r="BR6" i="30"/>
  <c r="BQ6" i="30"/>
  <c r="BP6" i="30"/>
  <c r="BO6" i="30"/>
  <c r="BD6" i="30"/>
  <c r="BC6" i="30"/>
  <c r="BB6" i="30"/>
  <c r="BA6" i="30"/>
  <c r="AZ6" i="30"/>
  <c r="AY6" i="30"/>
  <c r="AX6" i="30"/>
  <c r="AN6" i="30"/>
  <c r="AM6" i="30"/>
  <c r="AL6" i="30"/>
  <c r="AK6" i="30"/>
  <c r="AJ6" i="30"/>
  <c r="AI6" i="30"/>
  <c r="AH6" i="30"/>
  <c r="AG6" i="30"/>
  <c r="AF6" i="30"/>
  <c r="T6" i="30"/>
  <c r="S6" i="30"/>
  <c r="R6" i="30"/>
  <c r="Q6" i="30"/>
  <c r="P6" i="30"/>
  <c r="O6" i="30"/>
  <c r="N6" i="30"/>
  <c r="M6" i="30"/>
  <c r="IB5" i="30"/>
  <c r="IA5" i="30"/>
  <c r="HZ5" i="30"/>
  <c r="HN5" i="30"/>
  <c r="HM5" i="30"/>
  <c r="GV5" i="30"/>
  <c r="GI5" i="30"/>
  <c r="GH5" i="30"/>
  <c r="FX5" i="30"/>
  <c r="FT5" i="30"/>
  <c r="FJ5" i="30"/>
  <c r="FI5" i="30"/>
  <c r="FH5" i="30"/>
  <c r="FG5" i="30"/>
  <c r="EZ5" i="30"/>
  <c r="EY5" i="30"/>
  <c r="EX5" i="30"/>
  <c r="EW5" i="30"/>
  <c r="EV5" i="30"/>
  <c r="EN5" i="30"/>
  <c r="EM5" i="30"/>
  <c r="EL5" i="30"/>
  <c r="EK5" i="30"/>
  <c r="EJ5" i="30"/>
  <c r="EI5" i="30"/>
  <c r="EH5" i="30"/>
  <c r="DX5" i="30"/>
  <c r="DW5" i="30"/>
  <c r="DV5" i="30"/>
  <c r="DU5" i="30"/>
  <c r="DT5" i="30"/>
  <c r="DS5" i="30"/>
  <c r="DR5" i="30"/>
  <c r="DQ5" i="30"/>
  <c r="DF5" i="30"/>
  <c r="DE5" i="30"/>
  <c r="DD5" i="30"/>
  <c r="DC5" i="30"/>
  <c r="DB5" i="30"/>
  <c r="DA5" i="30"/>
  <c r="CZ5" i="30"/>
  <c r="CY5" i="30"/>
  <c r="CN5" i="30"/>
  <c r="CM5" i="30"/>
  <c r="CL5" i="30"/>
  <c r="CK5" i="30"/>
  <c r="CJ5" i="30"/>
  <c r="CI5" i="30"/>
  <c r="CH5" i="30"/>
  <c r="CG5" i="30"/>
  <c r="BV5" i="30"/>
  <c r="BU5" i="30"/>
  <c r="BT5" i="30"/>
  <c r="BS5" i="30"/>
  <c r="BR5" i="30"/>
  <c r="BQ5" i="30"/>
  <c r="BP5" i="30"/>
  <c r="BO5" i="30"/>
  <c r="BD5" i="30"/>
  <c r="BC5" i="30"/>
  <c r="BB5" i="30"/>
  <c r="BA5" i="30"/>
  <c r="AZ5" i="30"/>
  <c r="AY5" i="30"/>
  <c r="AX5" i="30"/>
  <c r="AN5" i="30"/>
  <c r="AM5" i="30"/>
  <c r="AL5" i="30"/>
  <c r="AK5" i="30"/>
  <c r="AJ5" i="30"/>
  <c r="AI5" i="30"/>
  <c r="AH5" i="30"/>
  <c r="AG5" i="30"/>
  <c r="AF5" i="30"/>
  <c r="T5" i="30"/>
  <c r="S5" i="30"/>
  <c r="R5" i="30"/>
  <c r="Q5" i="30"/>
  <c r="P5" i="30"/>
  <c r="O5" i="30"/>
  <c r="N5" i="30"/>
  <c r="M5" i="30"/>
  <c r="P34" i="21"/>
  <c r="P16" i="21"/>
  <c r="M16" i="21"/>
  <c r="K16" i="21"/>
  <c r="J16" i="21"/>
  <c r="I16" i="21"/>
  <c r="H16" i="21"/>
  <c r="C16" i="21"/>
  <c r="N16" i="21"/>
  <c r="D16" i="21"/>
  <c r="GW43" i="30"/>
  <c r="EI56" i="30"/>
  <c r="DS67" i="30"/>
  <c r="GI61" i="30"/>
  <c r="FJ58" i="30"/>
  <c r="GV18" i="30"/>
  <c r="GW18" i="30"/>
  <c r="GL43" i="30"/>
  <c r="GL61" i="30"/>
  <c r="GG43" i="30"/>
  <c r="FS41" i="30"/>
  <c r="GW61" i="30"/>
  <c r="Q34" i="21" l="1"/>
  <c r="BV61" i="30"/>
  <c r="BV68" i="30" s="1"/>
  <c r="EM43" i="30"/>
  <c r="EW28" i="30"/>
  <c r="DV67" i="30"/>
  <c r="DX67" i="30"/>
  <c r="IB36" i="30"/>
  <c r="IC36" i="30" s="1"/>
  <c r="BP61" i="30"/>
  <c r="BP68" i="30" s="1"/>
  <c r="Q16" i="21"/>
  <c r="S59" i="30"/>
  <c r="S68" i="30" s="1"/>
  <c r="EL56" i="30"/>
  <c r="P59" i="30"/>
  <c r="P68" i="30" s="1"/>
  <c r="DT67" i="30"/>
  <c r="O16" i="21"/>
  <c r="GK36" i="30"/>
  <c r="GH36" i="30"/>
  <c r="EM33" i="30"/>
  <c r="GK23" i="30"/>
  <c r="GV50" i="30"/>
  <c r="BT61" i="30"/>
  <c r="BT68" i="30" s="1"/>
  <c r="IC5" i="30"/>
  <c r="DU67" i="30"/>
  <c r="EN36" i="30"/>
  <c r="GW45" i="30"/>
  <c r="IB51" i="30"/>
  <c r="IC51" i="30" s="1"/>
  <c r="DX27" i="30"/>
  <c r="CZ44" i="30"/>
  <c r="DX54" i="30"/>
  <c r="GL36" i="30"/>
  <c r="EL33" i="30"/>
  <c r="FC68" i="30"/>
  <c r="O59" i="30"/>
  <c r="O68" i="30" s="1"/>
  <c r="BU61" i="30"/>
  <c r="BU68" i="30" s="1"/>
  <c r="HM43" i="30"/>
  <c r="EN33" i="30"/>
  <c r="Q59" i="30"/>
  <c r="Q68" i="30" s="1"/>
  <c r="DU54" i="30"/>
  <c r="DC44" i="30"/>
  <c r="DU43" i="30"/>
  <c r="FI58" i="30"/>
  <c r="GW56" i="30"/>
  <c r="HN43" i="30"/>
  <c r="GM54" i="30"/>
  <c r="DR67" i="30"/>
  <c r="CN29" i="30"/>
  <c r="HN61" i="30"/>
  <c r="EV12" i="30"/>
  <c r="EV68" i="30" s="1"/>
  <c r="EM46" i="30"/>
  <c r="EI46" i="30"/>
  <c r="DF55" i="30"/>
  <c r="IA56" i="30"/>
  <c r="IC56" i="30" s="1"/>
  <c r="FI50" i="30"/>
  <c r="IQ68" i="30"/>
  <c r="IQ71" i="30" s="1"/>
  <c r="GF41" i="30"/>
  <c r="FX67" i="30"/>
  <c r="CK29" i="30"/>
  <c r="FH50" i="30"/>
  <c r="EX36" i="30"/>
  <c r="FW41" i="30"/>
  <c r="FY41" i="30" s="1"/>
  <c r="FV51" i="30"/>
  <c r="IA50" i="30"/>
  <c r="IC50" i="30" s="1"/>
  <c r="CM10" i="30"/>
  <c r="CH29" i="30"/>
  <c r="EX12" i="30"/>
  <c r="IA20" i="30"/>
  <c r="IC20" i="30" s="1"/>
  <c r="EL46" i="30"/>
  <c r="FW51" i="30"/>
  <c r="FX51" i="30"/>
  <c r="EL43" i="30"/>
  <c r="EN46" i="30"/>
  <c r="W71" i="30"/>
  <c r="FT51" i="30"/>
  <c r="HN54" i="30"/>
  <c r="AI59" i="30"/>
  <c r="AI68" i="30" s="1"/>
  <c r="FW67" i="30"/>
  <c r="IA23" i="30"/>
  <c r="EK43" i="30"/>
  <c r="BB10" i="30"/>
  <c r="BB68" i="30" s="1"/>
  <c r="DT20" i="30"/>
  <c r="FA5" i="30"/>
  <c r="FY6" i="30"/>
  <c r="CN10" i="30"/>
  <c r="DR20" i="30"/>
  <c r="GM59" i="30"/>
  <c r="GL62" i="30"/>
  <c r="GJ62" i="30"/>
  <c r="GH41" i="30"/>
  <c r="GJ41" i="30"/>
  <c r="DC55" i="30"/>
  <c r="DT27" i="30"/>
  <c r="GG56" i="30"/>
  <c r="GJ56" i="30"/>
  <c r="EJ43" i="30"/>
  <c r="FV67" i="30"/>
  <c r="EN43" i="30"/>
  <c r="FU67" i="30"/>
  <c r="GG23" i="30"/>
  <c r="GJ23" i="30"/>
  <c r="GI45" i="30"/>
  <c r="GJ45" i="30"/>
  <c r="DR46" i="30"/>
  <c r="GG50" i="30"/>
  <c r="GJ50" i="30"/>
  <c r="BX71" i="30"/>
  <c r="HW71" i="30"/>
  <c r="DA55" i="30"/>
  <c r="GH20" i="30"/>
  <c r="GJ20" i="30"/>
  <c r="GM55" i="30"/>
  <c r="FW33" i="30"/>
  <c r="CL10" i="30"/>
  <c r="CZ55" i="30"/>
  <c r="EJ36" i="30"/>
  <c r="EM28" i="30"/>
  <c r="GG37" i="30"/>
  <c r="GJ37" i="30"/>
  <c r="GH56" i="30"/>
  <c r="CZ37" i="30"/>
  <c r="GI23" i="30"/>
  <c r="EL36" i="30"/>
  <c r="DE55" i="30"/>
  <c r="EM36" i="30"/>
  <c r="DD55" i="30"/>
  <c r="DX46" i="30"/>
  <c r="DC51" i="30"/>
  <c r="DR27" i="30"/>
  <c r="EL28" i="30"/>
  <c r="DU27" i="30"/>
  <c r="GG36" i="30"/>
  <c r="GJ36" i="30"/>
  <c r="GH51" i="30"/>
  <c r="GJ51" i="30"/>
  <c r="DR54" i="30"/>
  <c r="HM54" i="30"/>
  <c r="FC71" i="30"/>
  <c r="FY45" i="30"/>
  <c r="FH33" i="30"/>
  <c r="GL41" i="30"/>
  <c r="V68" i="30"/>
  <c r="V71" i="30" s="1"/>
  <c r="FM68" i="30"/>
  <c r="FM71" i="30" s="1"/>
  <c r="EW20" i="30"/>
  <c r="GI41" i="30"/>
  <c r="AH59" i="30"/>
  <c r="AH68" i="30" s="1"/>
  <c r="AK59" i="30"/>
  <c r="AK68" i="30" s="1"/>
  <c r="FV58" i="30"/>
  <c r="EJ33" i="30"/>
  <c r="DF51" i="30"/>
  <c r="GH62" i="30"/>
  <c r="GI62" i="30"/>
  <c r="GM38" i="30"/>
  <c r="GM58" i="30"/>
  <c r="GL56" i="30"/>
  <c r="GI37" i="30"/>
  <c r="AJ59" i="30"/>
  <c r="AJ68" i="30" s="1"/>
  <c r="EI33" i="30"/>
  <c r="FY5" i="30"/>
  <c r="BY68" i="30"/>
  <c r="BY71" i="30" s="1"/>
  <c r="GH37" i="30"/>
  <c r="AG59" i="30"/>
  <c r="EW50" i="30"/>
  <c r="AN59" i="30"/>
  <c r="AN68" i="30" s="1"/>
  <c r="FW50" i="30"/>
  <c r="GK41" i="30"/>
  <c r="DV54" i="30"/>
  <c r="GI20" i="30"/>
  <c r="CH10" i="30"/>
  <c r="EI36" i="30"/>
  <c r="GK37" i="30"/>
  <c r="AL59" i="30"/>
  <c r="AL68" i="30" s="1"/>
  <c r="AL71" i="30" s="1"/>
  <c r="HM61" i="30"/>
  <c r="HM68" i="30" s="1"/>
  <c r="HM71" i="30" s="1"/>
  <c r="EY12" i="30"/>
  <c r="GH23" i="30"/>
  <c r="GG62" i="30"/>
  <c r="DW20" i="30"/>
  <c r="FZ68" i="30"/>
  <c r="FZ71" i="30" s="1"/>
  <c r="FV23" i="30"/>
  <c r="FX50" i="30"/>
  <c r="FJ33" i="30"/>
  <c r="FJ68" i="30" s="1"/>
  <c r="DS54" i="30"/>
  <c r="DT54" i="30"/>
  <c r="DV27" i="30"/>
  <c r="DS27" i="30"/>
  <c r="DA36" i="30"/>
  <c r="GM22" i="30"/>
  <c r="GV23" i="30"/>
  <c r="EY50" i="30"/>
  <c r="DE51" i="30"/>
  <c r="GL51" i="30"/>
  <c r="EN55" i="30"/>
  <c r="GI56" i="30"/>
  <c r="BR61" i="30"/>
  <c r="BR68" i="30" s="1"/>
  <c r="GK62" i="30"/>
  <c r="HP54" i="30"/>
  <c r="HP61" i="30"/>
  <c r="DX43" i="30"/>
  <c r="DE36" i="30"/>
  <c r="EW36" i="30"/>
  <c r="DF36" i="30"/>
  <c r="FX33" i="30"/>
  <c r="EM55" i="30"/>
  <c r="GK56" i="30"/>
  <c r="EX20" i="30"/>
  <c r="CJ10" i="30"/>
  <c r="CK10" i="30"/>
  <c r="CK68" i="30" s="1"/>
  <c r="CK71" i="30" s="1"/>
  <c r="CG29" i="30"/>
  <c r="CG68" i="30" s="1"/>
  <c r="EW12" i="30"/>
  <c r="D68" i="30"/>
  <c r="D71" i="30" s="1"/>
  <c r="EP68" i="30"/>
  <c r="EP71" i="30" s="1"/>
  <c r="BQ61" i="30"/>
  <c r="BQ68" i="30" s="1"/>
  <c r="BF68" i="30"/>
  <c r="BF71" i="30" s="1"/>
  <c r="FV50" i="30"/>
  <c r="DR43" i="30"/>
  <c r="FH58" i="30"/>
  <c r="FU50" i="30"/>
  <c r="GI51" i="30"/>
  <c r="GV36" i="30"/>
  <c r="DB51" i="30"/>
  <c r="R59" i="30"/>
  <c r="R68" i="30" s="1"/>
  <c r="DD51" i="30"/>
  <c r="EK28" i="30"/>
  <c r="FU33" i="30"/>
  <c r="EN28" i="30"/>
  <c r="CZ36" i="30"/>
  <c r="DG18" i="30"/>
  <c r="DU20" i="30"/>
  <c r="EZ36" i="30"/>
  <c r="IB45" i="30"/>
  <c r="IC45" i="30" s="1"/>
  <c r="GV56" i="30"/>
  <c r="FW58" i="30"/>
  <c r="GM61" i="30"/>
  <c r="CQ71" i="30"/>
  <c r="EA71" i="30"/>
  <c r="GG51" i="30"/>
  <c r="GM40" i="30"/>
  <c r="FI23" i="30"/>
  <c r="FL68" i="30"/>
  <c r="FL71" i="30" s="1"/>
  <c r="EJ28" i="30"/>
  <c r="EL55" i="30"/>
  <c r="DA56" i="30"/>
  <c r="DB36" i="30"/>
  <c r="DC37" i="30"/>
  <c r="CI10" i="30"/>
  <c r="CI68" i="30" s="1"/>
  <c r="DF6" i="30"/>
  <c r="EL27" i="30"/>
  <c r="HB68" i="30"/>
  <c r="HB71" i="30" s="1"/>
  <c r="EZ12" i="30"/>
  <c r="EZ68" i="30" s="1"/>
  <c r="EZ73" i="30" s="1"/>
  <c r="GK51" i="30"/>
  <c r="T59" i="30"/>
  <c r="T68" i="30" s="1"/>
  <c r="EY20" i="30"/>
  <c r="EX50" i="30"/>
  <c r="DH68" i="30"/>
  <c r="DH71" i="30" s="1"/>
  <c r="EJ55" i="30"/>
  <c r="EK55" i="30"/>
  <c r="CZ51" i="30"/>
  <c r="FT33" i="30"/>
  <c r="GW23" i="30"/>
  <c r="DD36" i="30"/>
  <c r="FK5" i="30"/>
  <c r="HV68" i="30"/>
  <c r="HV71" i="30" s="1"/>
  <c r="GM67" i="30"/>
  <c r="GY23" i="30"/>
  <c r="GZ23" i="30"/>
  <c r="HO43" i="30"/>
  <c r="HO68" i="30" s="1"/>
  <c r="HO71" i="30" s="1"/>
  <c r="IC23" i="30"/>
  <c r="GM64" i="30"/>
  <c r="GU41" i="30"/>
  <c r="GU68" i="30" s="1"/>
  <c r="GX37" i="30"/>
  <c r="GX41" i="30"/>
  <c r="GY37" i="30"/>
  <c r="GY41" i="30"/>
  <c r="GZ37" i="30"/>
  <c r="GZ41" i="30"/>
  <c r="DD37" i="30"/>
  <c r="FB68" i="30"/>
  <c r="FB71" i="30" s="1"/>
  <c r="GL20" i="30"/>
  <c r="DC6" i="30"/>
  <c r="DZ68" i="30"/>
  <c r="DZ71" i="30" s="1"/>
  <c r="CM29" i="30"/>
  <c r="CM68" i="30" s="1"/>
  <c r="EN27" i="30"/>
  <c r="GL50" i="30"/>
  <c r="GH45" i="30"/>
  <c r="GW37" i="30"/>
  <c r="CJ29" i="30"/>
  <c r="FT58" i="30"/>
  <c r="DD44" i="30"/>
  <c r="DV43" i="30"/>
  <c r="GV41" i="30"/>
  <c r="GG45" i="30"/>
  <c r="FW23" i="30"/>
  <c r="BA10" i="30"/>
  <c r="BA68" i="30" s="1"/>
  <c r="CZ6" i="30"/>
  <c r="FU58" i="30"/>
  <c r="DS46" i="30"/>
  <c r="GW36" i="30"/>
  <c r="DS43" i="30"/>
  <c r="DB56" i="30"/>
  <c r="DB37" i="30"/>
  <c r="DC56" i="30"/>
  <c r="DU46" i="30"/>
  <c r="DX20" i="30"/>
  <c r="FU23" i="30"/>
  <c r="FX23" i="30"/>
  <c r="IA37" i="30"/>
  <c r="IC37" i="30" s="1"/>
  <c r="CY68" i="30"/>
  <c r="DV20" i="30"/>
  <c r="FH23" i="30"/>
  <c r="EX28" i="30"/>
  <c r="CL29" i="30"/>
  <c r="DT43" i="30"/>
  <c r="GV45" i="30"/>
  <c r="DV46" i="30"/>
  <c r="EJ46" i="30"/>
  <c r="GW50" i="30"/>
  <c r="FY56" i="30"/>
  <c r="IC57" i="30"/>
  <c r="IC58" i="30"/>
  <c r="IC62" i="30"/>
  <c r="DI71" i="30"/>
  <c r="GM63" i="30"/>
  <c r="GM46" i="30"/>
  <c r="GX50" i="30"/>
  <c r="GY50" i="30"/>
  <c r="HP43" i="30"/>
  <c r="HQ54" i="30"/>
  <c r="HQ61" i="30"/>
  <c r="HR54" i="30"/>
  <c r="HR61" i="30"/>
  <c r="HS54" i="30"/>
  <c r="HS61" i="30"/>
  <c r="GM30" i="30"/>
  <c r="DE44" i="30"/>
  <c r="EI27" i="30"/>
  <c r="GK45" i="30"/>
  <c r="GO68" i="30"/>
  <c r="GO71" i="30" s="1"/>
  <c r="GA68" i="30"/>
  <c r="GA71" i="30" s="1"/>
  <c r="EQ71" i="30"/>
  <c r="HA43" i="30"/>
  <c r="BD10" i="30"/>
  <c r="BD68" i="30" s="1"/>
  <c r="GV51" i="30"/>
  <c r="DF56" i="30"/>
  <c r="DE56" i="30"/>
  <c r="AQ71" i="30"/>
  <c r="GM44" i="30"/>
  <c r="GG20" i="30"/>
  <c r="GX51" i="30"/>
  <c r="GX56" i="30"/>
  <c r="GY20" i="30"/>
  <c r="GY51" i="30"/>
  <c r="GY56" i="30"/>
  <c r="GZ20" i="30"/>
  <c r="GZ51" i="30"/>
  <c r="HQ43" i="30"/>
  <c r="HR43" i="30"/>
  <c r="HS43" i="30"/>
  <c r="HT54" i="30"/>
  <c r="HT61" i="30"/>
  <c r="DE37" i="30"/>
  <c r="GN68" i="30"/>
  <c r="GN71" i="30" s="1"/>
  <c r="DE6" i="30"/>
  <c r="GV20" i="30"/>
  <c r="GH50" i="30"/>
  <c r="GM43" i="30"/>
  <c r="EN56" i="30"/>
  <c r="DB44" i="30"/>
  <c r="AY10" i="30"/>
  <c r="AY68" i="30" s="1"/>
  <c r="AY71" i="30" s="1"/>
  <c r="GL45" i="30"/>
  <c r="AP68" i="30"/>
  <c r="AP71" i="30" s="1"/>
  <c r="AZ10" i="30"/>
  <c r="DA37" i="30"/>
  <c r="DD56" i="30"/>
  <c r="DF44" i="30"/>
  <c r="CP68" i="30"/>
  <c r="CP71" i="30" s="1"/>
  <c r="DD6" i="30"/>
  <c r="EK27" i="30"/>
  <c r="GI50" i="30"/>
  <c r="GF45" i="30"/>
  <c r="FX58" i="30"/>
  <c r="EY28" i="30"/>
  <c r="IA18" i="30"/>
  <c r="DW46" i="30"/>
  <c r="EK56" i="30"/>
  <c r="EM56" i="30"/>
  <c r="EM27" i="30"/>
  <c r="DA6" i="30"/>
  <c r="IB18" i="30"/>
  <c r="GW20" i="30"/>
  <c r="GM65" i="30"/>
  <c r="GM60" i="30"/>
  <c r="GM57" i="30"/>
  <c r="GM52" i="30"/>
  <c r="GM42" i="30"/>
  <c r="GX36" i="30"/>
  <c r="GX45" i="30"/>
  <c r="GY36" i="30"/>
  <c r="GY45" i="30"/>
  <c r="IU68" i="30"/>
  <c r="IU73" i="30" s="1"/>
  <c r="GM5" i="30"/>
  <c r="IY67" i="30"/>
  <c r="IY65" i="30"/>
  <c r="IY64" i="30"/>
  <c r="IY63" i="30"/>
  <c r="IY62" i="30"/>
  <c r="IY61" i="30"/>
  <c r="IY60" i="30"/>
  <c r="IY30" i="30"/>
  <c r="IY59" i="30"/>
  <c r="IY58" i="30"/>
  <c r="IY57" i="30"/>
  <c r="IY56" i="30"/>
  <c r="IY55" i="30"/>
  <c r="IY54" i="30"/>
  <c r="IY52" i="30"/>
  <c r="IY51" i="30"/>
  <c r="IY50" i="30"/>
  <c r="IY46" i="30"/>
  <c r="IY45" i="30"/>
  <c r="IY44" i="30"/>
  <c r="IY43" i="30"/>
  <c r="IY41" i="30"/>
  <c r="IY42" i="30"/>
  <c r="IY40" i="30"/>
  <c r="IY38" i="30"/>
  <c r="IY37" i="30"/>
  <c r="IY36" i="30"/>
  <c r="IY34" i="30"/>
  <c r="IY33" i="30"/>
  <c r="IY29" i="30"/>
  <c r="IY28" i="30"/>
  <c r="IY27" i="30"/>
  <c r="IY24" i="30"/>
  <c r="IY23" i="30"/>
  <c r="IY22" i="30"/>
  <c r="IY20" i="30"/>
  <c r="IY17" i="30"/>
  <c r="IY16" i="30"/>
  <c r="IY12" i="30"/>
  <c r="IY11" i="30"/>
  <c r="IY10" i="30"/>
  <c r="IY18" i="30"/>
  <c r="IY9" i="30"/>
  <c r="IY6" i="30"/>
  <c r="FY36" i="30"/>
  <c r="IC6" i="30"/>
  <c r="GM18" i="30"/>
  <c r="AF68" i="30"/>
  <c r="FY11" i="30"/>
  <c r="FY20" i="30"/>
  <c r="GM24" i="30"/>
  <c r="FY28" i="30"/>
  <c r="FY34" i="30"/>
  <c r="FY44" i="30"/>
  <c r="FY30" i="30"/>
  <c r="FY43" i="30"/>
  <c r="GM33" i="30"/>
  <c r="FY10" i="30"/>
  <c r="HZ68" i="30"/>
  <c r="EH68" i="30"/>
  <c r="IC9" i="30"/>
  <c r="AX68" i="30"/>
  <c r="HA10" i="30"/>
  <c r="FY12" i="30"/>
  <c r="HA12" i="30"/>
  <c r="HA16" i="30"/>
  <c r="FY22" i="30"/>
  <c r="IC43" i="30"/>
  <c r="IC55" i="30"/>
  <c r="FY57" i="30"/>
  <c r="HA57" i="30"/>
  <c r="HU59" i="30"/>
  <c r="IC59" i="30"/>
  <c r="HA63" i="30"/>
  <c r="FS68" i="30"/>
  <c r="GM9" i="30"/>
  <c r="FY62" i="30"/>
  <c r="FY60" i="30"/>
  <c r="FY59" i="30"/>
  <c r="GM10" i="30"/>
  <c r="HU29" i="30"/>
  <c r="FY9" i="30"/>
  <c r="M68" i="30"/>
  <c r="DQ68" i="30"/>
  <c r="FG68" i="30"/>
  <c r="FY18" i="30"/>
  <c r="HU10" i="30"/>
  <c r="IC11" i="30"/>
  <c r="HU17" i="30"/>
  <c r="FY37" i="30"/>
  <c r="HA38" i="30"/>
  <c r="FY40" i="30"/>
  <c r="HA42" i="30"/>
  <c r="IC41" i="30"/>
  <c r="FY46" i="30"/>
  <c r="IC46" i="30"/>
  <c r="HA52" i="30"/>
  <c r="IC52" i="30"/>
  <c r="FY54" i="30"/>
  <c r="IC54" i="30"/>
  <c r="HA55" i="30"/>
  <c r="HA59" i="30"/>
  <c r="HA60" i="30"/>
  <c r="IC67" i="30"/>
  <c r="GM11" i="30"/>
  <c r="GM34" i="30"/>
  <c r="HU27" i="30"/>
  <c r="IR68" i="30"/>
  <c r="IR73" i="30" s="1"/>
  <c r="GM6" i="30"/>
  <c r="HA9" i="30"/>
  <c r="GM12" i="30"/>
  <c r="HU24" i="30"/>
  <c r="GM29" i="30"/>
  <c r="HU33" i="30"/>
  <c r="IC33" i="30"/>
  <c r="HU34" i="30"/>
  <c r="HA46" i="30"/>
  <c r="HA54" i="30"/>
  <c r="HA67" i="30"/>
  <c r="GM17" i="30"/>
  <c r="HA6" i="30"/>
  <c r="FY61" i="30"/>
  <c r="GM16" i="30"/>
  <c r="IT68" i="30"/>
  <c r="IT73" i="30" s="1"/>
  <c r="HA11" i="30"/>
  <c r="HA44" i="30"/>
  <c r="FY52" i="30"/>
  <c r="FY55" i="30"/>
  <c r="HA30" i="30"/>
  <c r="HU63" i="30"/>
  <c r="HA65" i="30"/>
  <c r="BO68" i="30"/>
  <c r="HA5" i="30"/>
  <c r="FY16" i="30"/>
  <c r="FY17" i="30"/>
  <c r="HA17" i="30"/>
  <c r="IC17" i="30"/>
  <c r="HA22" i="30"/>
  <c r="FY24" i="30"/>
  <c r="HA24" i="30"/>
  <c r="FY27" i="30"/>
  <c r="IC27" i="30"/>
  <c r="HA28" i="30"/>
  <c r="FY29" i="30"/>
  <c r="HA29" i="30"/>
  <c r="HA33" i="30"/>
  <c r="HA34" i="30"/>
  <c r="FY38" i="30"/>
  <c r="HA40" i="30"/>
  <c r="FY42" i="30"/>
  <c r="IC42" i="30"/>
  <c r="HA58" i="30"/>
  <c r="HA62" i="30"/>
  <c r="HA64" i="30"/>
  <c r="GM28" i="30"/>
  <c r="IC34" i="30"/>
  <c r="IC40" i="30"/>
  <c r="HU46" i="30"/>
  <c r="HU67" i="30"/>
  <c r="HU22" i="30"/>
  <c r="IC28" i="30"/>
  <c r="HU60" i="30"/>
  <c r="HA61" i="30"/>
  <c r="HA18" i="30"/>
  <c r="IC24" i="30"/>
  <c r="HU5" i="30"/>
  <c r="HU20" i="30"/>
  <c r="HU57" i="30"/>
  <c r="IC63" i="30"/>
  <c r="IC64" i="30"/>
  <c r="IP68" i="30"/>
  <c r="IP71" i="30" s="1"/>
  <c r="IX71" i="30"/>
  <c r="IY5" i="30"/>
  <c r="HU62" i="30"/>
  <c r="HU30" i="30"/>
  <c r="HU56" i="30"/>
  <c r="HU55" i="30"/>
  <c r="HU51" i="30"/>
  <c r="HU50" i="30"/>
  <c r="HU45" i="30"/>
  <c r="HU44" i="30"/>
  <c r="HU42" i="30"/>
  <c r="HU40" i="30"/>
  <c r="HU37" i="30"/>
  <c r="HU36" i="30"/>
  <c r="HU28" i="30"/>
  <c r="HU23" i="30"/>
  <c r="HU12" i="30"/>
  <c r="HU18" i="30"/>
  <c r="HU6" i="30"/>
  <c r="HU41" i="30"/>
  <c r="HU65" i="30"/>
  <c r="HU64" i="30"/>
  <c r="HU52" i="30"/>
  <c r="HL68" i="30"/>
  <c r="HU38" i="30"/>
  <c r="HU16" i="30"/>
  <c r="HU11" i="30"/>
  <c r="HU9" i="30"/>
  <c r="HU58" i="30"/>
  <c r="IE71" i="30"/>
  <c r="HA27" i="30"/>
  <c r="GM27" i="30"/>
  <c r="O34" i="21"/>
  <c r="IC10" i="30"/>
  <c r="IC12" i="30"/>
  <c r="IC29" i="30"/>
  <c r="IC38" i="30"/>
  <c r="IC30" i="30"/>
  <c r="IC60" i="30"/>
  <c r="IC16" i="30"/>
  <c r="IC22" i="30"/>
  <c r="IC44" i="30"/>
  <c r="IC61" i="30"/>
  <c r="IC65" i="30"/>
  <c r="IV68" i="30"/>
  <c r="IV73" i="30" s="1"/>
  <c r="IS68" i="30"/>
  <c r="IS73" i="30" s="1"/>
  <c r="IW68" i="30"/>
  <c r="IW73" i="30" s="1"/>
  <c r="HC71" i="30"/>
  <c r="DG24" i="30"/>
  <c r="DG42" i="30"/>
  <c r="BG71" i="30"/>
  <c r="BW17" i="30"/>
  <c r="EO17" i="30"/>
  <c r="DG23" i="30"/>
  <c r="BE37" i="30"/>
  <c r="AO64" i="30"/>
  <c r="FK28" i="30"/>
  <c r="FK44" i="30"/>
  <c r="FK54" i="30"/>
  <c r="EO5" i="30"/>
  <c r="DG10" i="30"/>
  <c r="DY10" i="30"/>
  <c r="FK10" i="30"/>
  <c r="AO22" i="30"/>
  <c r="FK22" i="30"/>
  <c r="BW28" i="30"/>
  <c r="BE33" i="30"/>
  <c r="BW33" i="30"/>
  <c r="BW34" i="30"/>
  <c r="DY36" i="30"/>
  <c r="CO37" i="30"/>
  <c r="FK38" i="30"/>
  <c r="DY40" i="30"/>
  <c r="U42" i="30"/>
  <c r="AO42" i="30"/>
  <c r="BW42" i="30"/>
  <c r="CO42" i="30"/>
  <c r="EO42" i="30"/>
  <c r="FK42" i="30"/>
  <c r="DY44" i="30"/>
  <c r="BE46" i="30"/>
  <c r="DG46" i="30"/>
  <c r="FA46" i="30"/>
  <c r="BE54" i="30"/>
  <c r="DG54" i="30"/>
  <c r="EO54" i="30"/>
  <c r="FA54" i="30"/>
  <c r="FK63" i="30"/>
  <c r="U64" i="30"/>
  <c r="FA65" i="30"/>
  <c r="FK65" i="30"/>
  <c r="U67" i="30"/>
  <c r="FA37" i="30"/>
  <c r="FA40" i="30"/>
  <c r="BE52" i="30"/>
  <c r="DG52" i="30"/>
  <c r="DY52" i="30"/>
  <c r="FA52" i="30"/>
  <c r="U18" i="30"/>
  <c r="AO18" i="30"/>
  <c r="FA11" i="30"/>
  <c r="U16" i="30"/>
  <c r="BE16" i="30"/>
  <c r="DG20" i="30"/>
  <c r="FK20" i="30"/>
  <c r="DY12" i="30"/>
  <c r="CO33" i="30"/>
  <c r="CO36" i="30"/>
  <c r="FA38" i="30"/>
  <c r="U44" i="30"/>
  <c r="AO44" i="30"/>
  <c r="BW44" i="30"/>
  <c r="CO44" i="30"/>
  <c r="EO44" i="30"/>
  <c r="BE51" i="30"/>
  <c r="CO51" i="30"/>
  <c r="EO51" i="30"/>
  <c r="FK51" i="30"/>
  <c r="U56" i="30"/>
  <c r="AO56" i="30"/>
  <c r="BE56" i="30"/>
  <c r="BE18" i="30"/>
  <c r="EO18" i="30"/>
  <c r="U12" i="30"/>
  <c r="BE12" i="30"/>
  <c r="CO12" i="30"/>
  <c r="FK17" i="30"/>
  <c r="CO5" i="30"/>
  <c r="BE6" i="30"/>
  <c r="CO6" i="30"/>
  <c r="FA6" i="30"/>
  <c r="DY11" i="30"/>
  <c r="FK16" i="30"/>
  <c r="U40" i="30"/>
  <c r="BE40" i="30"/>
  <c r="EO40" i="30"/>
  <c r="U43" i="30"/>
  <c r="AO43" i="30"/>
  <c r="BE43" i="30"/>
  <c r="BW43" i="30"/>
  <c r="U50" i="30"/>
  <c r="BE50" i="30"/>
  <c r="BW50" i="30"/>
  <c r="CO50" i="30"/>
  <c r="DY50" i="30"/>
  <c r="EO50" i="30"/>
  <c r="U55" i="30"/>
  <c r="AO55" i="30"/>
  <c r="BW55" i="30"/>
  <c r="CO55" i="30"/>
  <c r="DY55" i="30"/>
  <c r="FA55" i="30"/>
  <c r="FK55" i="30"/>
  <c r="FA16" i="30"/>
  <c r="DG17" i="30"/>
  <c r="FA17" i="30"/>
  <c r="AO20" i="30"/>
  <c r="BE20" i="30"/>
  <c r="EO20" i="30"/>
  <c r="FA22" i="30"/>
  <c r="AO23" i="30"/>
  <c r="CO23" i="30"/>
  <c r="DY23" i="30"/>
  <c r="EO23" i="30"/>
  <c r="U24" i="30"/>
  <c r="AO24" i="30"/>
  <c r="BE24" i="30"/>
  <c r="BW24" i="30"/>
  <c r="CO24" i="30"/>
  <c r="DY24" i="30"/>
  <c r="EO24" i="30"/>
  <c r="FA24" i="30"/>
  <c r="FK24" i="30"/>
  <c r="AO27" i="30"/>
  <c r="DG27" i="30"/>
  <c r="FA27" i="30"/>
  <c r="BE28" i="30"/>
  <c r="DG28" i="30"/>
  <c r="DY28" i="30"/>
  <c r="U29" i="30"/>
  <c r="BE29" i="30"/>
  <c r="BW29" i="30"/>
  <c r="DY29" i="30"/>
  <c r="FK29" i="30"/>
  <c r="FA33" i="30"/>
  <c r="AO34" i="30"/>
  <c r="CO34" i="30"/>
  <c r="DG34" i="30"/>
  <c r="DY34" i="30"/>
  <c r="EO34" i="30"/>
  <c r="FA34" i="30"/>
  <c r="FK34" i="30"/>
  <c r="U36" i="30"/>
  <c r="AO36" i="30"/>
  <c r="BE36" i="30"/>
  <c r="BW36" i="30"/>
  <c r="FK36" i="30"/>
  <c r="AO37" i="30"/>
  <c r="DY37" i="30"/>
  <c r="EO37" i="30"/>
  <c r="FK37" i="30"/>
  <c r="U38" i="30"/>
  <c r="AO38" i="30"/>
  <c r="BE38" i="30"/>
  <c r="BW38" i="30"/>
  <c r="CO38" i="30"/>
  <c r="DG38" i="30"/>
  <c r="EO38" i="30"/>
  <c r="AO40" i="30"/>
  <c r="DG40" i="30"/>
  <c r="BE42" i="30"/>
  <c r="AO54" i="30"/>
  <c r="BW54" i="30"/>
  <c r="AO16" i="30"/>
  <c r="CO56" i="30"/>
  <c r="DY56" i="30"/>
  <c r="FA56" i="30"/>
  <c r="U57" i="30"/>
  <c r="AO57" i="30"/>
  <c r="BW57" i="30"/>
  <c r="CO57" i="30"/>
  <c r="DG57" i="30"/>
  <c r="DY57" i="30"/>
  <c r="EO57" i="30"/>
  <c r="FA57" i="30"/>
  <c r="FK57" i="30"/>
  <c r="U58" i="30"/>
  <c r="AO58" i="30"/>
  <c r="BE58" i="30"/>
  <c r="BW58" i="30"/>
  <c r="CO58" i="30"/>
  <c r="DG58" i="30"/>
  <c r="DY58" i="30"/>
  <c r="EO58" i="30"/>
  <c r="FA58" i="30"/>
  <c r="BE59" i="30"/>
  <c r="BW59" i="30"/>
  <c r="CO59" i="30"/>
  <c r="DG59" i="30"/>
  <c r="DY59" i="30"/>
  <c r="EO59" i="30"/>
  <c r="FA59" i="30"/>
  <c r="FK59" i="30"/>
  <c r="U30" i="30"/>
  <c r="AO30" i="30"/>
  <c r="BE30" i="30"/>
  <c r="BW30" i="30"/>
  <c r="CO30" i="30"/>
  <c r="DG30" i="30"/>
  <c r="DY30" i="30"/>
  <c r="EO30" i="30"/>
  <c r="FK30" i="30"/>
  <c r="U60" i="30"/>
  <c r="AO60" i="30"/>
  <c r="BW60" i="30"/>
  <c r="CO60" i="30"/>
  <c r="DG60" i="30"/>
  <c r="DY60" i="30"/>
  <c r="EO60" i="30"/>
  <c r="FA60" i="30"/>
  <c r="FK60" i="30"/>
  <c r="U61" i="30"/>
  <c r="BE61" i="30"/>
  <c r="DG61" i="30"/>
  <c r="EO61" i="30"/>
  <c r="FA61" i="30"/>
  <c r="U63" i="30"/>
  <c r="AO63" i="30"/>
  <c r="CO63" i="30"/>
  <c r="FA63" i="30"/>
  <c r="FA64" i="30"/>
  <c r="FY64" i="30"/>
  <c r="U65" i="30"/>
  <c r="CO65" i="30"/>
  <c r="BW67" i="30"/>
  <c r="CO67" i="30"/>
  <c r="FK67" i="30"/>
  <c r="FK56" i="30"/>
  <c r="FK61" i="30"/>
  <c r="DY64" i="30"/>
  <c r="BE65" i="30"/>
  <c r="U34" i="30"/>
  <c r="U11" i="30"/>
  <c r="BW11" i="30"/>
  <c r="DG11" i="30"/>
  <c r="FK11" i="30"/>
  <c r="DG12" i="30"/>
  <c r="CO16" i="30"/>
  <c r="DG16" i="30"/>
  <c r="DY16" i="30"/>
  <c r="U17" i="30"/>
  <c r="CO17" i="30"/>
  <c r="DY17" i="30"/>
  <c r="U20" i="30"/>
  <c r="BW20" i="30"/>
  <c r="CO20" i="30"/>
  <c r="U22" i="30"/>
  <c r="DY22" i="30"/>
  <c r="EO22" i="30"/>
  <c r="BW23" i="30"/>
  <c r="FA23" i="30"/>
  <c r="BE27" i="30"/>
  <c r="CO27" i="30"/>
  <c r="U28" i="30"/>
  <c r="AO28" i="30"/>
  <c r="CO28" i="30"/>
  <c r="DG29" i="30"/>
  <c r="EO29" i="30"/>
  <c r="FA29" i="30"/>
  <c r="DY33" i="30"/>
  <c r="BE34" i="30"/>
  <c r="U37" i="30"/>
  <c r="BW37" i="30"/>
  <c r="DY38" i="30"/>
  <c r="EO67" i="30"/>
  <c r="FA67" i="30"/>
  <c r="BE64" i="30"/>
  <c r="EO65" i="30"/>
  <c r="FY65" i="30"/>
  <c r="BE11" i="30"/>
  <c r="CO11" i="30"/>
  <c r="EO11" i="30"/>
  <c r="AO12" i="30"/>
  <c r="BW12" i="30"/>
  <c r="EO12" i="30"/>
  <c r="EO16" i="30"/>
  <c r="BW22" i="30"/>
  <c r="DG22" i="30"/>
  <c r="U23" i="30"/>
  <c r="BE23" i="30"/>
  <c r="U27" i="30"/>
  <c r="BC68" i="30"/>
  <c r="BC73" i="30" s="1"/>
  <c r="BW56" i="30"/>
  <c r="AO11" i="30"/>
  <c r="FK12" i="30"/>
  <c r="BW16" i="30"/>
  <c r="AO17" i="30"/>
  <c r="BE17" i="30"/>
  <c r="BE22" i="30"/>
  <c r="CO22" i="30"/>
  <c r="BW27" i="30"/>
  <c r="BE9" i="30"/>
  <c r="DG9" i="30"/>
  <c r="FK9" i="30"/>
  <c r="BW18" i="30"/>
  <c r="CO18" i="30"/>
  <c r="DY18" i="30"/>
  <c r="FA18" i="30"/>
  <c r="FK18" i="30"/>
  <c r="FA10" i="30"/>
  <c r="BW40" i="30"/>
  <c r="CO40" i="30"/>
  <c r="FK40" i="30"/>
  <c r="DY42" i="30"/>
  <c r="U54" i="30"/>
  <c r="CO54" i="30"/>
  <c r="CO64" i="30"/>
  <c r="DG64" i="30"/>
  <c r="EO64" i="30"/>
  <c r="AO65" i="30"/>
  <c r="DG65" i="30"/>
  <c r="CO43" i="30"/>
  <c r="CO46" i="30"/>
  <c r="FY63" i="30"/>
  <c r="DG5" i="30"/>
  <c r="DG43" i="30"/>
  <c r="FA43" i="30"/>
  <c r="FK43" i="30"/>
  <c r="BE44" i="30"/>
  <c r="FA44" i="30"/>
  <c r="U46" i="30"/>
  <c r="AO46" i="30"/>
  <c r="BW46" i="30"/>
  <c r="FK46" i="30"/>
  <c r="AO50" i="30"/>
  <c r="DG50" i="30"/>
  <c r="U51" i="30"/>
  <c r="AO51" i="30"/>
  <c r="BW51" i="30"/>
  <c r="DY51" i="30"/>
  <c r="FA51" i="30"/>
  <c r="U52" i="30"/>
  <c r="AO52" i="30"/>
  <c r="BW52" i="30"/>
  <c r="CO52" i="30"/>
  <c r="EO52" i="30"/>
  <c r="FK52" i="30"/>
  <c r="BE55" i="30"/>
  <c r="BE57" i="30"/>
  <c r="FA30" i="30"/>
  <c r="BE60" i="30"/>
  <c r="AO61" i="30"/>
  <c r="CO61" i="30"/>
  <c r="DY61" i="30"/>
  <c r="BE63" i="30"/>
  <c r="BW63" i="30"/>
  <c r="DG63" i="30"/>
  <c r="EO63" i="30"/>
  <c r="AM68" i="30"/>
  <c r="BE5" i="30"/>
  <c r="AO10" i="30"/>
  <c r="BW10" i="30"/>
  <c r="U10" i="30"/>
  <c r="AO5" i="30"/>
  <c r="U5" i="30"/>
  <c r="N68" i="30"/>
  <c r="BW5" i="30"/>
  <c r="DY5" i="30"/>
  <c r="U6" i="30"/>
  <c r="AO6" i="30"/>
  <c r="BW6" i="30"/>
  <c r="DY6" i="30"/>
  <c r="EO6" i="30"/>
  <c r="FK6" i="30"/>
  <c r="U9" i="30"/>
  <c r="AO9" i="30"/>
  <c r="BW9" i="30"/>
  <c r="CO9" i="30"/>
  <c r="DY9" i="30"/>
  <c r="EO9" i="30"/>
  <c r="FA9" i="30"/>
  <c r="BS68" i="30"/>
  <c r="EO10" i="30"/>
  <c r="DY63" i="30"/>
  <c r="BW64" i="30"/>
  <c r="FK64" i="30"/>
  <c r="BW65" i="30"/>
  <c r="DY65" i="30"/>
  <c r="AO67" i="30"/>
  <c r="BE67" i="30"/>
  <c r="DG67" i="30"/>
  <c r="FK27" i="30"/>
  <c r="AO29" i="30"/>
  <c r="U33" i="30"/>
  <c r="AO33" i="30"/>
  <c r="DG33" i="30"/>
  <c r="FA42" i="30"/>
  <c r="GM36" i="30" l="1"/>
  <c r="FK58" i="30"/>
  <c r="DY67" i="30"/>
  <c r="HN68" i="30"/>
  <c r="HN73" i="30" s="1"/>
  <c r="FY67" i="30"/>
  <c r="FY51" i="30"/>
  <c r="GF68" i="30"/>
  <c r="CN68" i="30"/>
  <c r="CN73" i="30" s="1"/>
  <c r="IQ73" i="30"/>
  <c r="CH68" i="30"/>
  <c r="CH73" i="30" s="1"/>
  <c r="GM62" i="30"/>
  <c r="GM37" i="30"/>
  <c r="EO36" i="30"/>
  <c r="FK50" i="30"/>
  <c r="FT68" i="30"/>
  <c r="FT73" i="30" s="1"/>
  <c r="FI68" i="30"/>
  <c r="FI71" i="30" s="1"/>
  <c r="HA23" i="30"/>
  <c r="FY50" i="30"/>
  <c r="DG55" i="30"/>
  <c r="HT68" i="30"/>
  <c r="HT71" i="30" s="1"/>
  <c r="EO46" i="30"/>
  <c r="GZ68" i="30"/>
  <c r="GZ71" i="30" s="1"/>
  <c r="HS68" i="30"/>
  <c r="HS71" i="30" s="1"/>
  <c r="FV68" i="30"/>
  <c r="FV73" i="30" s="1"/>
  <c r="EO33" i="30"/>
  <c r="GM23" i="30"/>
  <c r="EO43" i="30"/>
  <c r="CL68" i="30"/>
  <c r="CL73" i="30" s="1"/>
  <c r="EL68" i="30"/>
  <c r="EL73" i="30" s="1"/>
  <c r="DR68" i="30"/>
  <c r="DR71" i="30" s="1"/>
  <c r="FA50" i="30"/>
  <c r="GJ68" i="30"/>
  <c r="HA41" i="30"/>
  <c r="GH68" i="30"/>
  <c r="GH71" i="30" s="1"/>
  <c r="GM41" i="30"/>
  <c r="HU43" i="30"/>
  <c r="GG68" i="30"/>
  <c r="GG71" i="30" s="1"/>
  <c r="GK68" i="30"/>
  <c r="GK71" i="30" s="1"/>
  <c r="HU61" i="30"/>
  <c r="HA50" i="30"/>
  <c r="FU68" i="30"/>
  <c r="FU71" i="30" s="1"/>
  <c r="FK33" i="30"/>
  <c r="EO27" i="30"/>
  <c r="DY43" i="30"/>
  <c r="DG37" i="30"/>
  <c r="CZ68" i="30"/>
  <c r="CZ73" i="30" s="1"/>
  <c r="EY68" i="30"/>
  <c r="EY73" i="30" s="1"/>
  <c r="IU71" i="30"/>
  <c r="EO56" i="30"/>
  <c r="GI68" i="30"/>
  <c r="GI73" i="30" s="1"/>
  <c r="DT68" i="30"/>
  <c r="DT71" i="30" s="1"/>
  <c r="CO10" i="30"/>
  <c r="DY54" i="30"/>
  <c r="AO59" i="30"/>
  <c r="AO68" i="30" s="1"/>
  <c r="IA68" i="30"/>
  <c r="IA71" i="30" s="1"/>
  <c r="U59" i="30"/>
  <c r="U68" i="30" s="1"/>
  <c r="HA36" i="30"/>
  <c r="GW68" i="30"/>
  <c r="GW73" i="30" s="1"/>
  <c r="DF68" i="30"/>
  <c r="DF73" i="30" s="1"/>
  <c r="DG6" i="30"/>
  <c r="DV68" i="30"/>
  <c r="DV71" i="30" s="1"/>
  <c r="DS68" i="30"/>
  <c r="DS73" i="30" s="1"/>
  <c r="DG44" i="30"/>
  <c r="EK68" i="30"/>
  <c r="EK73" i="30" s="1"/>
  <c r="EI68" i="30"/>
  <c r="EI73" i="30" s="1"/>
  <c r="DX68" i="30"/>
  <c r="DX73" i="30" s="1"/>
  <c r="DA68" i="30"/>
  <c r="DA73" i="30" s="1"/>
  <c r="FH68" i="30"/>
  <c r="FH73" i="30" s="1"/>
  <c r="DY27" i="30"/>
  <c r="DW68" i="30"/>
  <c r="DW73" i="30" s="1"/>
  <c r="FA12" i="30"/>
  <c r="IB68" i="30"/>
  <c r="IB71" i="30" s="1"/>
  <c r="AG68" i="30"/>
  <c r="AG73" i="30" s="1"/>
  <c r="EX68" i="30"/>
  <c r="EX71" i="30" s="1"/>
  <c r="DG36" i="30"/>
  <c r="EO55" i="30"/>
  <c r="FA20" i="30"/>
  <c r="DC68" i="30"/>
  <c r="DC73" i="30" s="1"/>
  <c r="EJ68" i="30"/>
  <c r="EJ73" i="30" s="1"/>
  <c r="GM51" i="30"/>
  <c r="FW68" i="30"/>
  <c r="FW71" i="30" s="1"/>
  <c r="DU68" i="30"/>
  <c r="DU71" i="30" s="1"/>
  <c r="FY33" i="30"/>
  <c r="DG51" i="30"/>
  <c r="GM56" i="30"/>
  <c r="EW68" i="30"/>
  <c r="EW71" i="30" s="1"/>
  <c r="HU54" i="30"/>
  <c r="FY23" i="30"/>
  <c r="CJ68" i="30"/>
  <c r="CJ71" i="30" s="1"/>
  <c r="EN68" i="30"/>
  <c r="EN71" i="30" s="1"/>
  <c r="GL68" i="30"/>
  <c r="GL73" i="30" s="1"/>
  <c r="EO28" i="30"/>
  <c r="FK23" i="30"/>
  <c r="GM20" i="30"/>
  <c r="GM50" i="30"/>
  <c r="CO29" i="30"/>
  <c r="CO68" i="30" s="1"/>
  <c r="BW61" i="30"/>
  <c r="BW68" i="30" s="1"/>
  <c r="FA36" i="30"/>
  <c r="HQ68" i="30"/>
  <c r="HQ71" i="30" s="1"/>
  <c r="FV71" i="30"/>
  <c r="FX68" i="30"/>
  <c r="FX71" i="30" s="1"/>
  <c r="DY20" i="30"/>
  <c r="DG56" i="30"/>
  <c r="FY58" i="30"/>
  <c r="GM45" i="30"/>
  <c r="DD68" i="30"/>
  <c r="DD73" i="30" s="1"/>
  <c r="HA37" i="30"/>
  <c r="DE68" i="30"/>
  <c r="DE71" i="30" s="1"/>
  <c r="HA45" i="30"/>
  <c r="EM68" i="30"/>
  <c r="EM71" i="30" s="1"/>
  <c r="BE10" i="30"/>
  <c r="BE68" i="30" s="1"/>
  <c r="DB68" i="30"/>
  <c r="DB71" i="30" s="1"/>
  <c r="GV68" i="30"/>
  <c r="GV71" i="30" s="1"/>
  <c r="HR68" i="30"/>
  <c r="HR71" i="30" s="1"/>
  <c r="HA56" i="30"/>
  <c r="GX68" i="30"/>
  <c r="GX71" i="30" s="1"/>
  <c r="HP68" i="30"/>
  <c r="HP71" i="30" s="1"/>
  <c r="DY46" i="30"/>
  <c r="AZ68" i="30"/>
  <c r="AZ71" i="30" s="1"/>
  <c r="FA28" i="30"/>
  <c r="GY68" i="30"/>
  <c r="GY71" i="30" s="1"/>
  <c r="IC18" i="30"/>
  <c r="IC68" i="30" s="1"/>
  <c r="HA20" i="30"/>
  <c r="HA51" i="30"/>
  <c r="IT71" i="30"/>
  <c r="IR71" i="30"/>
  <c r="IP73" i="30"/>
  <c r="IY68" i="30"/>
  <c r="HM73" i="30"/>
  <c r="HO73" i="30"/>
  <c r="IS71" i="30"/>
  <c r="IV71" i="30"/>
  <c r="IW71" i="30"/>
  <c r="AY73" i="30"/>
  <c r="BC71" i="30"/>
  <c r="AL73" i="30"/>
  <c r="EZ71" i="30"/>
  <c r="CK73" i="30"/>
  <c r="AN73" i="30"/>
  <c r="AN71" i="30"/>
  <c r="Q73" i="30"/>
  <c r="Q71" i="30"/>
  <c r="R73" i="30"/>
  <c r="R71" i="30"/>
  <c r="AH71" i="30"/>
  <c r="AH73" i="30"/>
  <c r="AM73" i="30"/>
  <c r="AM71" i="30"/>
  <c r="S73" i="30"/>
  <c r="S71" i="30"/>
  <c r="P71" i="30"/>
  <c r="P73" i="30"/>
  <c r="BS71" i="30"/>
  <c r="BS73" i="30"/>
  <c r="BP71" i="30"/>
  <c r="BP73" i="30"/>
  <c r="N73" i="30"/>
  <c r="N71" i="30"/>
  <c r="CM71" i="30"/>
  <c r="CM73" i="30"/>
  <c r="O73" i="30"/>
  <c r="O71" i="30"/>
  <c r="BR71" i="30"/>
  <c r="BR73" i="30"/>
  <c r="T73" i="30"/>
  <c r="T71" i="30"/>
  <c r="BA73" i="30"/>
  <c r="BA71" i="30"/>
  <c r="BV73" i="30"/>
  <c r="BV71" i="30"/>
  <c r="CI71" i="30"/>
  <c r="CI73" i="30"/>
  <c r="BB71" i="30"/>
  <c r="BB73" i="30"/>
  <c r="BQ73" i="30"/>
  <c r="BQ71" i="30"/>
  <c r="BD71" i="30"/>
  <c r="BD73" i="30"/>
  <c r="AJ71" i="30"/>
  <c r="AJ73" i="30"/>
  <c r="BT71" i="30"/>
  <c r="BT73" i="30"/>
  <c r="AK73" i="30"/>
  <c r="AK71" i="30"/>
  <c r="FJ71" i="30"/>
  <c r="FJ73" i="30"/>
  <c r="BU71" i="30"/>
  <c r="BU73" i="30"/>
  <c r="AI71" i="30"/>
  <c r="AI73" i="30"/>
  <c r="FU73" i="30" l="1"/>
  <c r="EK71" i="30"/>
  <c r="CN71" i="30"/>
  <c r="HN71" i="30"/>
  <c r="HT73" i="30"/>
  <c r="FI73" i="30"/>
  <c r="FH71" i="30"/>
  <c r="HU68" i="30"/>
  <c r="CH71" i="30"/>
  <c r="CL71" i="30"/>
  <c r="HR73" i="30"/>
  <c r="CJ73" i="30"/>
  <c r="FW73" i="30"/>
  <c r="FT71" i="30"/>
  <c r="FX73" i="30"/>
  <c r="DY68" i="30"/>
  <c r="DD71" i="30"/>
  <c r="GX73" i="30"/>
  <c r="AG71" i="30"/>
  <c r="EL71" i="30"/>
  <c r="DR73" i="30"/>
  <c r="GG73" i="30"/>
  <c r="GZ73" i="30"/>
  <c r="FK68" i="30"/>
  <c r="EY71" i="30"/>
  <c r="DF71" i="30"/>
  <c r="HS73" i="30"/>
  <c r="DA71" i="30"/>
  <c r="EO68" i="30"/>
  <c r="DT73" i="30"/>
  <c r="DB73" i="30"/>
  <c r="GW71" i="30"/>
  <c r="GH73" i="30"/>
  <c r="GK73" i="30"/>
  <c r="GY73" i="30"/>
  <c r="GL71" i="30"/>
  <c r="FY68" i="30"/>
  <c r="GJ71" i="30"/>
  <c r="GJ73" i="30"/>
  <c r="EW73" i="30"/>
  <c r="CZ71" i="30"/>
  <c r="DC71" i="30"/>
  <c r="EX73" i="30"/>
  <c r="HQ73" i="30"/>
  <c r="GI71" i="30"/>
  <c r="DG68" i="30"/>
  <c r="EI71" i="30"/>
  <c r="DV73" i="30"/>
  <c r="GM68" i="30"/>
  <c r="DU73" i="30"/>
  <c r="EN73" i="30"/>
  <c r="HA68" i="30"/>
  <c r="DS71" i="30"/>
  <c r="DW71" i="30"/>
  <c r="FA68" i="30"/>
  <c r="DE73" i="30"/>
  <c r="EJ71" i="30"/>
  <c r="DX71" i="30"/>
  <c r="EM73" i="30"/>
  <c r="HP73" i="30"/>
  <c r="GV73" i="30"/>
  <c r="AZ73" i="30"/>
  <c r="P38" i="50"/>
  <c r="F48" i="50"/>
  <c r="M48" i="50" l="1"/>
  <c r="K48" i="50"/>
  <c r="O48" i="50"/>
  <c r="I48" i="50"/>
  <c r="L48" i="50"/>
  <c r="H48" i="50"/>
  <c r="J48" i="50"/>
  <c r="N48" i="50"/>
  <c r="P48" i="50" l="1"/>
  <c r="F51" i="50"/>
  <c r="J49" i="50" l="1"/>
  <c r="L49" i="50"/>
  <c r="O49" i="50"/>
  <c r="F52" i="50"/>
  <c r="I49" i="50"/>
  <c r="M49" i="50"/>
  <c r="K49" i="50"/>
  <c r="N49" i="50"/>
  <c r="M51" i="50" l="1"/>
  <c r="M52" i="50"/>
  <c r="F16" i="57" s="1"/>
  <c r="G16" i="57" s="1"/>
  <c r="L51" i="50"/>
  <c r="L52" i="50"/>
  <c r="F15" i="57" s="1"/>
  <c r="G15" i="57" s="1"/>
  <c r="H51" i="50"/>
  <c r="P49" i="50"/>
  <c r="H52" i="50"/>
  <c r="F11" i="57" s="1"/>
  <c r="N52" i="50"/>
  <c r="F17" i="57" s="1"/>
  <c r="G17" i="57" s="1"/>
  <c r="N51" i="50"/>
  <c r="K52" i="50"/>
  <c r="F14" i="57" s="1"/>
  <c r="G14" i="57" s="1"/>
  <c r="K51" i="50"/>
  <c r="I51" i="50"/>
  <c r="I52" i="50"/>
  <c r="F12" i="57" s="1"/>
  <c r="G12" i="57" s="1"/>
  <c r="O52" i="50"/>
  <c r="F18" i="57" s="1"/>
  <c r="G18" i="57" s="1"/>
  <c r="O51" i="50"/>
  <c r="J52" i="50"/>
  <c r="F13" i="57" s="1"/>
  <c r="G13" i="57" s="1"/>
  <c r="J51" i="50"/>
  <c r="F19" i="57" l="1"/>
  <c r="F23" i="57" s="1"/>
  <c r="G11" i="57"/>
  <c r="G19" i="57" s="1"/>
  <c r="G23" i="57" s="1"/>
  <c r="P52" i="50"/>
  <c r="P51" i="50"/>
</calcChain>
</file>

<file path=xl/comments1.xml><?xml version="1.0" encoding="utf-8"?>
<comments xmlns="http://schemas.openxmlformats.org/spreadsheetml/2006/main">
  <authors>
    <author>Administrator</author>
  </authors>
  <commentList>
    <comment ref="I28" authorId="0">
      <text>
        <r>
          <rPr>
            <b/>
            <sz val="9"/>
            <color indexed="81"/>
            <rFont val="Tahoma"/>
            <family val="2"/>
            <charset val="204"/>
          </rPr>
          <t>Administrator:</t>
        </r>
        <r>
          <rPr>
            <sz val="9"/>
            <color indexed="81"/>
            <rFont val="Tahoma"/>
            <family val="2"/>
            <charset val="204"/>
          </rPr>
          <t xml:space="preserve">
для выхода на 110%</t>
        </r>
      </text>
    </comment>
  </commentList>
</comments>
</file>

<file path=xl/comments2.xml><?xml version="1.0" encoding="utf-8"?>
<comments xmlns="http://schemas.openxmlformats.org/spreadsheetml/2006/main">
  <authors>
    <author>Administrator</author>
  </authors>
  <commentList>
    <comment ref="J23" authorId="0">
      <text>
        <r>
          <rPr>
            <b/>
            <sz val="9"/>
            <color indexed="81"/>
            <rFont val="Tahoma"/>
            <family val="2"/>
            <charset val="204"/>
          </rPr>
          <t>Administrator:</t>
        </r>
        <r>
          <rPr>
            <sz val="9"/>
            <color indexed="81"/>
            <rFont val="Tahoma"/>
            <family val="2"/>
            <charset val="204"/>
          </rPr>
          <t xml:space="preserve">
накладные - ожид.</t>
        </r>
      </text>
    </comment>
    <comment ref="J24" authorId="0">
      <text>
        <r>
          <rPr>
            <b/>
            <sz val="9"/>
            <color indexed="81"/>
            <rFont val="Tahoma"/>
            <family val="2"/>
            <charset val="204"/>
          </rPr>
          <t>Administrator:</t>
        </r>
        <r>
          <rPr>
            <sz val="9"/>
            <color indexed="81"/>
            <rFont val="Tahoma"/>
            <family val="2"/>
            <charset val="204"/>
          </rPr>
          <t xml:space="preserve">
накладные - ожид.</t>
        </r>
      </text>
    </comment>
    <comment ref="J25" authorId="0">
      <text>
        <r>
          <rPr>
            <b/>
            <sz val="9"/>
            <color indexed="81"/>
            <rFont val="Tahoma"/>
            <family val="2"/>
            <charset val="204"/>
          </rPr>
          <t>Administrator:</t>
        </r>
        <r>
          <rPr>
            <sz val="9"/>
            <color indexed="81"/>
            <rFont val="Tahoma"/>
            <family val="2"/>
            <charset val="204"/>
          </rPr>
          <t xml:space="preserve">
накладные - ожид.</t>
        </r>
      </text>
    </comment>
    <comment ref="J28" authorId="0">
      <text>
        <r>
          <rPr>
            <b/>
            <sz val="9"/>
            <color indexed="81"/>
            <rFont val="Tahoma"/>
            <family val="2"/>
            <charset val="204"/>
          </rPr>
          <t>Administrator:</t>
        </r>
        <r>
          <rPr>
            <sz val="9"/>
            <color indexed="81"/>
            <rFont val="Tahoma"/>
            <family val="2"/>
            <charset val="204"/>
          </rPr>
          <t xml:space="preserve">
накладные - ожид.</t>
        </r>
      </text>
    </comment>
  </commentList>
</comments>
</file>

<file path=xl/comments3.xml><?xml version="1.0" encoding="utf-8"?>
<comments xmlns="http://schemas.openxmlformats.org/spreadsheetml/2006/main">
  <authors>
    <author>Ирина Шевцова</author>
  </authors>
  <commentList>
    <comment ref="N5" authorId="0">
      <text>
        <r>
          <rPr>
            <b/>
            <sz val="8"/>
            <color indexed="81"/>
            <rFont val="Tahoma"/>
            <family val="2"/>
            <charset val="204"/>
          </rPr>
          <t>Ирина Шевцова:</t>
        </r>
        <r>
          <rPr>
            <sz val="8"/>
            <color indexed="81"/>
            <rFont val="Tahoma"/>
            <family val="2"/>
            <charset val="204"/>
          </rPr>
          <t xml:space="preserve">
в т.ч. Отпуск 24 272,08</t>
        </r>
      </text>
    </comment>
    <comment ref="N6" authorId="0">
      <text>
        <r>
          <rPr>
            <b/>
            <sz val="8"/>
            <color indexed="81"/>
            <rFont val="Tahoma"/>
            <family val="2"/>
            <charset val="204"/>
          </rPr>
          <t>Ирина Шевцова:</t>
        </r>
        <r>
          <rPr>
            <sz val="8"/>
            <color indexed="81"/>
            <rFont val="Tahoma"/>
            <family val="2"/>
            <charset val="204"/>
          </rPr>
          <t xml:space="preserve">
в т.ч. Отпуск 19 935,44
</t>
        </r>
      </text>
    </comment>
    <comment ref="N14" authorId="0">
      <text>
        <r>
          <rPr>
            <b/>
            <sz val="8"/>
            <color indexed="81"/>
            <rFont val="Tahoma"/>
            <family val="2"/>
            <charset val="204"/>
          </rPr>
          <t>Ирина Шевцова:</t>
        </r>
        <r>
          <rPr>
            <sz val="8"/>
            <color indexed="81"/>
            <rFont val="Tahoma"/>
            <family val="2"/>
            <charset val="204"/>
          </rPr>
          <t xml:space="preserve">
в т.ч отпуск 70425,6</t>
        </r>
      </text>
    </comment>
    <comment ref="N15" authorId="0">
      <text>
        <r>
          <rPr>
            <b/>
            <sz val="8"/>
            <color indexed="81"/>
            <rFont val="Tahoma"/>
            <family val="2"/>
            <charset val="204"/>
          </rPr>
          <t>Ирина Шевцова:</t>
        </r>
        <r>
          <rPr>
            <sz val="8"/>
            <color indexed="81"/>
            <rFont val="Tahoma"/>
            <family val="2"/>
            <charset val="204"/>
          </rPr>
          <t xml:space="preserve">
В т.ч. Отпуск 22353,38</t>
        </r>
      </text>
    </comment>
    <comment ref="N17" authorId="0">
      <text>
        <r>
          <rPr>
            <b/>
            <sz val="8"/>
            <color indexed="81"/>
            <rFont val="Tahoma"/>
            <family val="2"/>
            <charset val="204"/>
          </rPr>
          <t>Ирина Шевцова:</t>
        </r>
        <r>
          <rPr>
            <sz val="8"/>
            <color indexed="81"/>
            <rFont val="Tahoma"/>
            <family val="2"/>
            <charset val="204"/>
          </rPr>
          <t xml:space="preserve">
в т.ч. отпуск 42424,48</t>
        </r>
      </text>
    </comment>
    <comment ref="N18" authorId="0">
      <text>
        <r>
          <rPr>
            <b/>
            <sz val="8"/>
            <color indexed="81"/>
            <rFont val="Tahoma"/>
            <family val="2"/>
            <charset val="204"/>
          </rPr>
          <t>Ирина Шевцова:</t>
        </r>
        <r>
          <rPr>
            <sz val="8"/>
            <color indexed="81"/>
            <rFont val="Tahoma"/>
            <family val="2"/>
            <charset val="204"/>
          </rPr>
          <t xml:space="preserve">
в т.ч отпуск 24272,08</t>
        </r>
      </text>
    </comment>
    <comment ref="N21" authorId="0">
      <text>
        <r>
          <rPr>
            <b/>
            <sz val="8"/>
            <color indexed="81"/>
            <rFont val="Tahoma"/>
            <family val="2"/>
            <charset val="204"/>
          </rPr>
          <t>Ирина Шевцова:</t>
        </r>
        <r>
          <rPr>
            <sz val="8"/>
            <color indexed="81"/>
            <rFont val="Tahoma"/>
            <family val="2"/>
            <charset val="204"/>
          </rPr>
          <t xml:space="preserve">
в т.ч отпуск 24242,40
</t>
        </r>
      </text>
    </comment>
    <comment ref="N23" authorId="0">
      <text>
        <r>
          <rPr>
            <b/>
            <sz val="8"/>
            <color indexed="81"/>
            <rFont val="Tahoma"/>
            <family val="2"/>
            <charset val="204"/>
          </rPr>
          <t>Ирина Шевцова:</t>
        </r>
        <r>
          <rPr>
            <sz val="8"/>
            <color indexed="81"/>
            <rFont val="Tahoma"/>
            <family val="2"/>
            <charset val="204"/>
          </rPr>
          <t xml:space="preserve">
в т.ч. ком. ув. 5205,97</t>
        </r>
      </text>
    </comment>
    <comment ref="N25" authorId="0">
      <text>
        <r>
          <rPr>
            <b/>
            <sz val="8"/>
            <color indexed="81"/>
            <rFont val="Tahoma"/>
            <family val="2"/>
            <charset val="204"/>
          </rPr>
          <t>Ирина Шевцова:</t>
        </r>
        <r>
          <rPr>
            <sz val="8"/>
            <color indexed="81"/>
            <rFont val="Tahoma"/>
            <family val="2"/>
            <charset val="204"/>
          </rPr>
          <t xml:space="preserve">
в т.ч. 26839,96</t>
        </r>
      </text>
    </comment>
    <comment ref="N26" authorId="0">
      <text>
        <r>
          <rPr>
            <b/>
            <sz val="8"/>
            <color indexed="81"/>
            <rFont val="Tahoma"/>
            <family val="2"/>
            <charset val="204"/>
          </rPr>
          <t>Ирина Шевцова:</t>
        </r>
        <r>
          <rPr>
            <sz val="8"/>
            <color indexed="81"/>
            <rFont val="Tahoma"/>
            <family val="2"/>
            <charset val="204"/>
          </rPr>
          <t xml:space="preserve">
в т.ч. 12986,96</t>
        </r>
      </text>
    </comment>
  </commentList>
</comments>
</file>

<file path=xl/comments4.xml><?xml version="1.0" encoding="utf-8"?>
<comments xmlns="http://schemas.openxmlformats.org/spreadsheetml/2006/main">
  <authors>
    <author>Автор</author>
    <author>nsveta</author>
    <author>Светлана Нагайцева</author>
  </authors>
  <commentList>
    <comment ref="L5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в т.ч. Отпуск 24 272,08</t>
        </r>
      </text>
    </comment>
    <comment ref="L6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в т.ч. Отпуск 19 935,44
</t>
        </r>
      </text>
    </comment>
    <comment ref="D8" authorId="0">
      <text>
        <r>
          <rPr>
            <b/>
            <sz val="8"/>
            <color indexed="81"/>
            <rFont val="Tahoma"/>
            <family val="2"/>
            <charset val="204"/>
          </rPr>
          <t>в т.ч ком. ув.</t>
        </r>
      </text>
    </comment>
    <comment ref="L10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в т.ч отпуск 21 818,16</t>
        </r>
      </text>
    </comment>
    <comment ref="D11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в т.ч. Отпуск </t>
        </r>
      </text>
    </comment>
    <comment ref="X11" authorId="1">
      <text>
        <r>
          <rPr>
            <b/>
            <sz val="10"/>
            <color indexed="81"/>
            <rFont val="Tahoma"/>
            <family val="2"/>
            <charset val="204"/>
          </rPr>
          <t>nsveta:</t>
        </r>
        <r>
          <rPr>
            <sz val="10"/>
            <color indexed="81"/>
            <rFont val="Tahoma"/>
            <family val="2"/>
            <charset val="204"/>
          </rPr>
          <t xml:space="preserve">
в т.ч. Отпуск 10 дн.</t>
        </r>
      </text>
    </comment>
    <comment ref="AJ11" authorId="2">
      <text>
        <r>
          <rPr>
            <b/>
            <sz val="8"/>
            <color indexed="81"/>
            <rFont val="Tahoma"/>
            <family val="2"/>
            <charset val="204"/>
          </rPr>
          <t>Светлана Нагайцева:</t>
        </r>
        <r>
          <rPr>
            <sz val="8"/>
            <color indexed="81"/>
            <rFont val="Tahoma"/>
            <family val="2"/>
            <charset val="204"/>
          </rPr>
          <t xml:space="preserve">
Отпуск 10 дн.</t>
        </r>
      </text>
    </comment>
    <comment ref="L12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в т.ч отпуск 26 406,80</t>
        </r>
      </text>
    </comment>
    <comment ref="T13" authorId="0">
      <text>
        <r>
          <rPr>
            <b/>
            <sz val="10"/>
            <color indexed="81"/>
            <rFont val="Tahoma"/>
            <family val="2"/>
            <charset val="204"/>
          </rPr>
          <t>Автор:</t>
        </r>
        <r>
          <rPr>
            <sz val="10"/>
            <color indexed="81"/>
            <rFont val="Tahoma"/>
            <family val="2"/>
            <charset val="204"/>
          </rPr>
          <t xml:space="preserve">
 в т.ч. отпуск</t>
        </r>
      </text>
    </comment>
    <comment ref="AB13" authorId="2">
      <text>
        <r>
          <rPr>
            <b/>
            <sz val="8"/>
            <color indexed="81"/>
            <rFont val="Tahoma"/>
            <family val="2"/>
            <charset val="204"/>
          </rPr>
          <t>Светлана Нагайцева: 
в т.ч. Отпуск 15 дн.</t>
        </r>
      </text>
    </comment>
    <comment ref="AN15" authorId="2">
      <text>
        <r>
          <rPr>
            <b/>
            <sz val="8"/>
            <color indexed="81"/>
            <rFont val="Tahoma"/>
            <family val="2"/>
            <charset val="204"/>
          </rPr>
          <t>Светлана Нагайцева
отпуск 14 дн.</t>
        </r>
      </text>
    </comment>
    <comment ref="L17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в т.ч отпуск 53 412,52</t>
        </r>
      </text>
    </comment>
    <comment ref="L19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в т.ч отпуск 21818,16</t>
        </r>
      </text>
    </comment>
    <comment ref="L21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в т.ч отпуск 35134,40</t>
        </r>
      </text>
    </comment>
    <comment ref="L23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в т.ч отпуск 15151,64</t>
        </r>
      </text>
    </comment>
    <comment ref="X24" authorId="2">
      <text>
        <r>
          <rPr>
            <b/>
            <sz val="8"/>
            <color indexed="81"/>
            <rFont val="Tahoma"/>
            <family val="2"/>
            <charset val="204"/>
          </rPr>
          <t>Светлана Нагайцева:</t>
        </r>
        <r>
          <rPr>
            <sz val="8"/>
            <color indexed="81"/>
            <rFont val="Tahoma"/>
            <family val="2"/>
            <charset val="204"/>
          </rPr>
          <t xml:space="preserve">
в т.ч. Начисление надбавки с 06.03.12 - 2357,14+2750+2750+2750=10607,14 </t>
        </r>
      </text>
    </comment>
    <comment ref="AB24" authorId="2">
      <text>
        <r>
          <rPr>
            <b/>
            <sz val="8"/>
            <color indexed="81"/>
            <rFont val="Tahoma"/>
            <family val="2"/>
            <charset val="204"/>
          </rPr>
          <t>Светлана Нагайцева:</t>
        </r>
        <r>
          <rPr>
            <sz val="8"/>
            <color indexed="81"/>
            <rFont val="Tahoma"/>
            <family val="2"/>
            <charset val="204"/>
          </rPr>
          <t xml:space="preserve">
отпуск  - 14дн.</t>
        </r>
      </text>
    </comment>
    <comment ref="D28" authorId="0">
      <text>
        <r>
          <rPr>
            <b/>
            <sz val="8"/>
            <color indexed="81"/>
            <rFont val="Tahoma"/>
            <family val="2"/>
            <charset val="204"/>
          </rPr>
          <t>в т.ч. Доплата за совмещение должн. = 21.250-00</t>
        </r>
      </text>
    </comment>
    <comment ref="H28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в т.ч. премия</t>
        </r>
      </text>
    </comment>
    <comment ref="W28" authorId="0">
      <text>
        <r>
          <rPr>
            <b/>
            <sz val="10"/>
            <color indexed="81"/>
            <rFont val="Tahoma"/>
            <family val="2"/>
            <charset val="204"/>
          </rPr>
          <t>Автор:</t>
        </r>
        <r>
          <rPr>
            <sz val="10"/>
            <color indexed="81"/>
            <rFont val="Tahoma"/>
            <family val="2"/>
            <charset val="204"/>
          </rPr>
          <t xml:space="preserve">
с учетом регресса</t>
        </r>
      </text>
    </comment>
    <comment ref="X29" authorId="1">
      <text>
        <r>
          <rPr>
            <b/>
            <sz val="10"/>
            <color indexed="81"/>
            <rFont val="Tahoma"/>
            <family val="2"/>
            <charset val="204"/>
          </rPr>
          <t>nsveta:</t>
        </r>
        <r>
          <rPr>
            <sz val="10"/>
            <color indexed="81"/>
            <rFont val="Tahoma"/>
            <family val="2"/>
            <charset val="204"/>
          </rPr>
          <t xml:space="preserve">
в т.ч. Отпуск 21 д.: 2350,02 - за июнь; 22325,19 - за июль.</t>
        </r>
      </text>
    </comment>
    <comment ref="AB29" authorId="2">
      <text>
        <r>
          <rPr>
            <b/>
            <sz val="8"/>
            <color indexed="81"/>
            <rFont val="Tahoma"/>
            <family val="2"/>
            <charset val="204"/>
          </rPr>
          <t>Светлана Нагайцева:</t>
        </r>
        <r>
          <rPr>
            <sz val="8"/>
            <color indexed="81"/>
            <rFont val="Tahoma"/>
            <family val="2"/>
            <charset val="204"/>
          </rPr>
          <t xml:space="preserve">
отпуск </t>
        </r>
      </text>
    </comment>
    <comment ref="AF29" authorId="2">
      <text>
        <r>
          <rPr>
            <b/>
            <sz val="8"/>
            <color indexed="81"/>
            <rFont val="Tahoma"/>
            <family val="2"/>
            <charset val="204"/>
          </rPr>
          <t>Светлана Нагайцева:</t>
        </r>
        <r>
          <rPr>
            <sz val="8"/>
            <color indexed="81"/>
            <rFont val="Tahoma"/>
            <family val="2"/>
            <charset val="204"/>
          </rPr>
          <t xml:space="preserve">
оплата 1 дня по средней ЗП (донор)</t>
        </r>
      </text>
    </comment>
    <comment ref="AH29" authorId="2">
      <text>
        <r>
          <rPr>
            <b/>
            <sz val="8"/>
            <color indexed="81"/>
            <rFont val="Tahoma"/>
            <family val="2"/>
            <charset val="204"/>
          </rPr>
          <t>Светлана Нагайцева:</t>
        </r>
        <r>
          <rPr>
            <sz val="8"/>
            <color indexed="81"/>
            <rFont val="Tahoma"/>
            <family val="2"/>
            <charset val="204"/>
          </rPr>
          <t xml:space="preserve">
1 день считаем или нет?</t>
        </r>
      </text>
    </comment>
    <comment ref="P30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в т.ч. Отпуск
</t>
        </r>
      </text>
    </comment>
    <comment ref="X30" authorId="1">
      <text>
        <r>
          <rPr>
            <b/>
            <sz val="10"/>
            <color indexed="81"/>
            <rFont val="Tahoma"/>
            <family val="2"/>
            <charset val="204"/>
          </rPr>
          <t>nsveta:</t>
        </r>
        <r>
          <rPr>
            <sz val="10"/>
            <color indexed="81"/>
            <rFont val="Tahoma"/>
            <family val="2"/>
            <charset val="204"/>
          </rPr>
          <t xml:space="preserve">
в т.ч. Отпуск 6 дн.</t>
        </r>
      </text>
    </comment>
    <comment ref="AA30" authorId="0">
      <text>
        <r>
          <rPr>
            <b/>
            <sz val="10"/>
            <color indexed="81"/>
            <rFont val="Tahoma"/>
            <family val="2"/>
            <charset val="204"/>
          </rPr>
          <t>Автор:</t>
        </r>
        <r>
          <rPr>
            <sz val="10"/>
            <color indexed="81"/>
            <rFont val="Tahoma"/>
            <family val="2"/>
            <charset val="204"/>
          </rPr>
          <t xml:space="preserve">
с учетом регресса</t>
        </r>
      </text>
    </comment>
    <comment ref="AE30" authorId="0">
      <text>
        <r>
          <rPr>
            <b/>
            <sz val="10"/>
            <color indexed="81"/>
            <rFont val="Tahoma"/>
            <family val="2"/>
            <charset val="204"/>
          </rPr>
          <t>Автор:</t>
        </r>
        <r>
          <rPr>
            <sz val="10"/>
            <color indexed="81"/>
            <rFont val="Tahoma"/>
            <family val="2"/>
            <charset val="204"/>
          </rPr>
          <t xml:space="preserve">
с учетом регресса</t>
        </r>
      </text>
    </comment>
    <comment ref="AI30" authorId="0">
      <text>
        <r>
          <rPr>
            <b/>
            <sz val="10"/>
            <color indexed="81"/>
            <rFont val="Tahoma"/>
            <family val="2"/>
            <charset val="204"/>
          </rPr>
          <t>Автор:</t>
        </r>
        <r>
          <rPr>
            <sz val="10"/>
            <color indexed="81"/>
            <rFont val="Tahoma"/>
            <family val="2"/>
            <charset val="204"/>
          </rPr>
          <t xml:space="preserve">
с учетом регресса</t>
        </r>
      </text>
    </comment>
    <comment ref="AM30" authorId="0">
      <text>
        <r>
          <rPr>
            <b/>
            <sz val="10"/>
            <color indexed="81"/>
            <rFont val="Tahoma"/>
            <family val="2"/>
            <charset val="204"/>
          </rPr>
          <t>Автор:</t>
        </r>
        <r>
          <rPr>
            <sz val="10"/>
            <color indexed="81"/>
            <rFont val="Tahoma"/>
            <family val="2"/>
            <charset val="204"/>
          </rPr>
          <t xml:space="preserve">
с учетом регресса</t>
        </r>
      </text>
    </comment>
    <comment ref="AQ30" authorId="0">
      <text>
        <r>
          <rPr>
            <b/>
            <sz val="10"/>
            <color indexed="81"/>
            <rFont val="Tahoma"/>
            <family val="2"/>
            <charset val="204"/>
          </rPr>
          <t>Автор:</t>
        </r>
        <r>
          <rPr>
            <sz val="10"/>
            <color indexed="81"/>
            <rFont val="Tahoma"/>
            <family val="2"/>
            <charset val="204"/>
          </rPr>
          <t xml:space="preserve">
с учетом регресса</t>
        </r>
      </text>
    </comment>
    <comment ref="AU30" authorId="0">
      <text>
        <r>
          <rPr>
            <b/>
            <sz val="10"/>
            <color indexed="81"/>
            <rFont val="Tahoma"/>
            <family val="2"/>
            <charset val="204"/>
          </rPr>
          <t>Автор:</t>
        </r>
        <r>
          <rPr>
            <sz val="10"/>
            <color indexed="81"/>
            <rFont val="Tahoma"/>
            <family val="2"/>
            <charset val="204"/>
          </rPr>
          <t xml:space="preserve">
с учетом регресса</t>
        </r>
      </text>
    </comment>
    <comment ref="AY30" authorId="0">
      <text>
        <r>
          <rPr>
            <b/>
            <sz val="10"/>
            <color indexed="81"/>
            <rFont val="Tahoma"/>
            <family val="2"/>
            <charset val="204"/>
          </rPr>
          <t>Автор:</t>
        </r>
        <r>
          <rPr>
            <sz val="10"/>
            <color indexed="81"/>
            <rFont val="Tahoma"/>
            <family val="2"/>
            <charset val="204"/>
          </rPr>
          <t xml:space="preserve">
с учетом регресса</t>
        </r>
      </text>
    </comment>
    <comment ref="L31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в т.ч отпуск 25595,36</t>
        </r>
      </text>
    </comment>
    <comment ref="P31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в т.ч. Отпуск
</t>
        </r>
      </text>
    </comment>
    <comment ref="X31" authorId="1">
      <text>
        <r>
          <rPr>
            <b/>
            <sz val="10"/>
            <color indexed="81"/>
            <rFont val="Tahoma"/>
            <family val="2"/>
            <charset val="204"/>
          </rPr>
          <t>nsveta:</t>
        </r>
        <r>
          <rPr>
            <sz val="10"/>
            <color indexed="81"/>
            <rFont val="Tahoma"/>
            <family val="2"/>
            <charset val="204"/>
          </rPr>
          <t xml:space="preserve">
в т.ч. Отпуск 6 дн.</t>
        </r>
      </text>
    </comment>
    <comment ref="T32" authorId="0">
      <text>
        <r>
          <rPr>
            <b/>
            <sz val="10"/>
            <color indexed="81"/>
            <rFont val="Tahoma"/>
            <family val="2"/>
            <charset val="204"/>
          </rPr>
          <t>Автор:</t>
        </r>
        <r>
          <rPr>
            <sz val="10"/>
            <color indexed="81"/>
            <rFont val="Tahoma"/>
            <family val="2"/>
            <charset val="204"/>
          </rPr>
          <t xml:space="preserve">
в т.ч. отпуск</t>
        </r>
      </text>
    </comment>
    <comment ref="AA32" authorId="0">
      <text>
        <r>
          <rPr>
            <b/>
            <sz val="10"/>
            <color indexed="81"/>
            <rFont val="Tahoma"/>
            <family val="2"/>
            <charset val="204"/>
          </rPr>
          <t>Автор:</t>
        </r>
        <r>
          <rPr>
            <sz val="10"/>
            <color indexed="81"/>
            <rFont val="Tahoma"/>
            <family val="2"/>
            <charset val="204"/>
          </rPr>
          <t xml:space="preserve">
с учетом регресса</t>
        </r>
      </text>
    </comment>
    <comment ref="AE32" authorId="0">
      <text>
        <r>
          <rPr>
            <b/>
            <sz val="10"/>
            <color indexed="81"/>
            <rFont val="Tahoma"/>
            <family val="2"/>
            <charset val="204"/>
          </rPr>
          <t>Автор:</t>
        </r>
        <r>
          <rPr>
            <sz val="10"/>
            <color indexed="81"/>
            <rFont val="Tahoma"/>
            <family val="2"/>
            <charset val="204"/>
          </rPr>
          <t xml:space="preserve">
с учетом регресса</t>
        </r>
      </text>
    </comment>
    <comment ref="AI32" authorId="0">
      <text>
        <r>
          <rPr>
            <b/>
            <sz val="10"/>
            <color indexed="81"/>
            <rFont val="Tahoma"/>
            <family val="2"/>
            <charset val="204"/>
          </rPr>
          <t>Автор:</t>
        </r>
        <r>
          <rPr>
            <sz val="10"/>
            <color indexed="81"/>
            <rFont val="Tahoma"/>
            <family val="2"/>
            <charset val="204"/>
          </rPr>
          <t xml:space="preserve">
с учетом регресса</t>
        </r>
      </text>
    </comment>
    <comment ref="AJ32" authorId="2">
      <text>
        <r>
          <rPr>
            <b/>
            <sz val="8"/>
            <color indexed="81"/>
            <rFont val="Tahoma"/>
            <family val="2"/>
            <charset val="204"/>
          </rPr>
          <t>Светлана Нагайцева:</t>
        </r>
        <r>
          <rPr>
            <sz val="8"/>
            <color indexed="81"/>
            <rFont val="Tahoma"/>
            <family val="2"/>
            <charset val="204"/>
          </rPr>
          <t xml:space="preserve">
Отпуск 14 дн.</t>
        </r>
      </text>
    </comment>
    <comment ref="AM32" authorId="0">
      <text>
        <r>
          <rPr>
            <b/>
            <sz val="10"/>
            <color indexed="81"/>
            <rFont val="Tahoma"/>
            <family val="2"/>
            <charset val="204"/>
          </rPr>
          <t>Автор:</t>
        </r>
        <r>
          <rPr>
            <sz val="10"/>
            <color indexed="81"/>
            <rFont val="Tahoma"/>
            <family val="2"/>
            <charset val="204"/>
          </rPr>
          <t xml:space="preserve">
с учетом регресса</t>
        </r>
      </text>
    </comment>
    <comment ref="AQ32" authorId="0">
      <text>
        <r>
          <rPr>
            <b/>
            <sz val="10"/>
            <color indexed="81"/>
            <rFont val="Tahoma"/>
            <family val="2"/>
            <charset val="204"/>
          </rPr>
          <t>Автор:</t>
        </r>
        <r>
          <rPr>
            <sz val="10"/>
            <color indexed="81"/>
            <rFont val="Tahoma"/>
            <family val="2"/>
            <charset val="204"/>
          </rPr>
          <t xml:space="preserve">
с учетом регресса</t>
        </r>
      </text>
    </comment>
    <comment ref="AU32" authorId="0">
      <text>
        <r>
          <rPr>
            <b/>
            <sz val="10"/>
            <color indexed="81"/>
            <rFont val="Tahoma"/>
            <family val="2"/>
            <charset val="204"/>
          </rPr>
          <t>Автор:</t>
        </r>
        <r>
          <rPr>
            <sz val="10"/>
            <color indexed="81"/>
            <rFont val="Tahoma"/>
            <family val="2"/>
            <charset val="204"/>
          </rPr>
          <t xml:space="preserve">
с учетом регресса</t>
        </r>
      </text>
    </comment>
    <comment ref="AY32" authorId="0">
      <text>
        <r>
          <rPr>
            <b/>
            <sz val="10"/>
            <color indexed="81"/>
            <rFont val="Tahoma"/>
            <family val="2"/>
            <charset val="204"/>
          </rPr>
          <t>Автор:</t>
        </r>
        <r>
          <rPr>
            <sz val="10"/>
            <color indexed="81"/>
            <rFont val="Tahoma"/>
            <family val="2"/>
            <charset val="204"/>
          </rPr>
          <t xml:space="preserve">
с учетом регресса</t>
        </r>
      </text>
    </comment>
    <comment ref="L34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в т.ч отпуск 34239,80
</t>
        </r>
      </text>
    </comment>
    <comment ref="X37" authorId="2">
      <text>
        <r>
          <rPr>
            <b/>
            <sz val="8"/>
            <color indexed="81"/>
            <rFont val="Tahoma"/>
            <family val="2"/>
            <charset val="204"/>
          </rPr>
          <t>Светлана Нагайцева:</t>
        </r>
        <r>
          <rPr>
            <sz val="8"/>
            <color indexed="81"/>
            <rFont val="Tahoma"/>
            <family val="2"/>
            <charset val="204"/>
          </rPr>
          <t xml:space="preserve">
с 14.06.2012</t>
        </r>
      </text>
    </comment>
    <comment ref="X38" authorId="0">
      <text>
        <r>
          <rPr>
            <sz val="8"/>
            <color indexed="81"/>
            <rFont val="Tahoma"/>
            <family val="2"/>
            <charset val="204"/>
          </rPr>
          <t xml:space="preserve">в т.ч. Отпуск 2 дн.
</t>
        </r>
      </text>
    </comment>
    <comment ref="AA38" authorId="0">
      <text>
        <r>
          <rPr>
            <b/>
            <sz val="8"/>
            <color indexed="81"/>
            <rFont val="Tahoma"/>
            <family val="2"/>
            <charset val="204"/>
          </rPr>
          <t>с учетом регресса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E38" authorId="0">
      <text>
        <r>
          <rPr>
            <b/>
            <sz val="8"/>
            <color indexed="81"/>
            <rFont val="Tahoma"/>
            <family val="2"/>
            <charset val="204"/>
          </rPr>
          <t>с учетом регресса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F38" authorId="2">
      <text>
        <r>
          <rPr>
            <b/>
            <sz val="8"/>
            <color indexed="81"/>
            <rFont val="Tahoma"/>
            <family val="2"/>
            <charset val="204"/>
          </rPr>
          <t>Светлана Нагайцева:</t>
        </r>
        <r>
          <rPr>
            <sz val="8"/>
            <color indexed="81"/>
            <rFont val="Tahoma"/>
            <family val="2"/>
            <charset val="204"/>
          </rPr>
          <t xml:space="preserve">
в т.ч. Отпуск 14 дн</t>
        </r>
      </text>
    </comment>
    <comment ref="AI38" authorId="0">
      <text>
        <r>
          <rPr>
            <b/>
            <sz val="8"/>
            <color indexed="81"/>
            <rFont val="Tahoma"/>
            <family val="2"/>
            <charset val="204"/>
          </rPr>
          <t>с учетом регресса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M38" authorId="0">
      <text>
        <r>
          <rPr>
            <b/>
            <sz val="8"/>
            <color indexed="81"/>
            <rFont val="Tahoma"/>
            <family val="2"/>
            <charset val="204"/>
          </rPr>
          <t>с учетом регресса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Q38" authorId="0">
      <text>
        <r>
          <rPr>
            <b/>
            <sz val="8"/>
            <color indexed="81"/>
            <rFont val="Tahoma"/>
            <family val="2"/>
            <charset val="204"/>
          </rPr>
          <t>с учетом регресса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U38" authorId="0">
      <text>
        <r>
          <rPr>
            <b/>
            <sz val="8"/>
            <color indexed="81"/>
            <rFont val="Tahoma"/>
            <family val="2"/>
            <charset val="204"/>
          </rPr>
          <t>с учетом регресса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Y38" authorId="0">
      <text>
        <r>
          <rPr>
            <b/>
            <sz val="8"/>
            <color indexed="81"/>
            <rFont val="Tahoma"/>
            <family val="2"/>
            <charset val="204"/>
          </rPr>
          <t>с учетом регресса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L39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в т.ч отпуск 70425,6</t>
        </r>
      </text>
    </comment>
    <comment ref="AI39" authorId="2">
      <text>
        <r>
          <rPr>
            <b/>
            <sz val="8"/>
            <color indexed="81"/>
            <rFont val="Tahoma"/>
            <family val="2"/>
            <charset val="204"/>
          </rPr>
          <t>Светлана Нагайцева:</t>
        </r>
        <r>
          <rPr>
            <sz val="8"/>
            <color indexed="81"/>
            <rFont val="Tahoma"/>
            <family val="2"/>
            <charset val="204"/>
          </rPr>
          <t xml:space="preserve">
регресс</t>
        </r>
      </text>
    </comment>
    <comment ref="AM39" authorId="2">
      <text>
        <r>
          <rPr>
            <b/>
            <sz val="8"/>
            <color indexed="81"/>
            <rFont val="Tahoma"/>
            <family val="2"/>
            <charset val="204"/>
          </rPr>
          <t>Светлана Нагайцева:</t>
        </r>
        <r>
          <rPr>
            <sz val="8"/>
            <color indexed="81"/>
            <rFont val="Tahoma"/>
            <family val="2"/>
            <charset val="204"/>
          </rPr>
          <t xml:space="preserve">
регресс</t>
        </r>
      </text>
    </comment>
    <comment ref="AQ39" authorId="2">
      <text>
        <r>
          <rPr>
            <b/>
            <sz val="8"/>
            <color indexed="81"/>
            <rFont val="Tahoma"/>
            <family val="2"/>
            <charset val="204"/>
          </rPr>
          <t>Светлана Нагайцева:</t>
        </r>
        <r>
          <rPr>
            <sz val="8"/>
            <color indexed="81"/>
            <rFont val="Tahoma"/>
            <family val="2"/>
            <charset val="204"/>
          </rPr>
          <t xml:space="preserve">
регресс</t>
        </r>
      </text>
    </comment>
    <comment ref="AU39" authorId="2">
      <text>
        <r>
          <rPr>
            <b/>
            <sz val="8"/>
            <color indexed="81"/>
            <rFont val="Tahoma"/>
            <family val="2"/>
            <charset val="204"/>
          </rPr>
          <t>Светлана Нагайцева:</t>
        </r>
        <r>
          <rPr>
            <sz val="8"/>
            <color indexed="81"/>
            <rFont val="Tahoma"/>
            <family val="2"/>
            <charset val="204"/>
          </rPr>
          <t xml:space="preserve">
регресс</t>
        </r>
      </text>
    </comment>
    <comment ref="AY39" authorId="2">
      <text>
        <r>
          <rPr>
            <b/>
            <sz val="8"/>
            <color indexed="81"/>
            <rFont val="Tahoma"/>
            <family val="2"/>
            <charset val="204"/>
          </rPr>
          <t>Светлана Нагайцева:</t>
        </r>
        <r>
          <rPr>
            <sz val="8"/>
            <color indexed="81"/>
            <rFont val="Tahoma"/>
            <family val="2"/>
            <charset val="204"/>
          </rPr>
          <t xml:space="preserve">
регресс</t>
        </r>
      </text>
    </comment>
    <comment ref="L40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в т.ч отпуск 24242,40</t>
        </r>
      </text>
    </comment>
    <comment ref="D42" authorId="0">
      <text>
        <r>
          <rPr>
            <b/>
            <sz val="8"/>
            <color indexed="81"/>
            <rFont val="Tahoma"/>
            <family val="2"/>
            <charset val="204"/>
          </rPr>
          <t>в т.ч. Отпуск 4 749,15</t>
        </r>
      </text>
    </comment>
    <comment ref="L42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в т.ч. Отпуск 4 935,56</t>
        </r>
      </text>
    </comment>
    <comment ref="T42" authorId="1">
      <text>
        <r>
          <rPr>
            <b/>
            <sz val="10"/>
            <color indexed="81"/>
            <rFont val="Tahoma"/>
            <family val="2"/>
            <charset val="204"/>
          </rPr>
          <t>nsveta:</t>
        </r>
        <r>
          <rPr>
            <sz val="10"/>
            <color indexed="81"/>
            <rFont val="Tahoma"/>
            <family val="2"/>
            <charset val="204"/>
          </rPr>
          <t xml:space="preserve">
в т.ч. Отпуск 1 д.</t>
        </r>
      </text>
    </comment>
    <comment ref="AF42" authorId="2">
      <text>
        <r>
          <rPr>
            <b/>
            <sz val="8"/>
            <color indexed="81"/>
            <rFont val="Tahoma"/>
            <family val="2"/>
            <charset val="204"/>
          </rPr>
          <t>Светлана Нагайцева:</t>
        </r>
        <r>
          <rPr>
            <sz val="8"/>
            <color indexed="81"/>
            <rFont val="Tahoma"/>
            <family val="2"/>
            <charset val="204"/>
          </rPr>
          <t xml:space="preserve">
в т.ч отпуск 14 дн</t>
        </r>
      </text>
    </comment>
    <comment ref="L43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в т.ч отпуск 21309,40</t>
        </r>
      </text>
    </comment>
    <comment ref="AN43" authorId="2">
      <text>
        <r>
          <rPr>
            <b/>
            <sz val="8"/>
            <color indexed="81"/>
            <rFont val="Tahoma"/>
            <family val="2"/>
            <charset val="204"/>
          </rPr>
          <t>Светлана Нагайцева:</t>
        </r>
        <r>
          <rPr>
            <sz val="8"/>
            <color indexed="81"/>
            <rFont val="Tahoma"/>
            <family val="2"/>
            <charset val="204"/>
          </rPr>
          <t xml:space="preserve">
16304,35 - оклад за полную ставку, 7577,27 - комп. Отп. При увольнении;  4347.83 - оклад зп пол-ставки</t>
        </r>
      </text>
    </comment>
    <comment ref="X44" authorId="2">
      <text>
        <r>
          <rPr>
            <b/>
            <sz val="8"/>
            <color indexed="81"/>
            <rFont val="Tahoma"/>
            <family val="2"/>
            <charset val="204"/>
          </rPr>
          <t>Светлана Нагайцева:</t>
        </r>
        <r>
          <rPr>
            <sz val="8"/>
            <color indexed="81"/>
            <rFont val="Tahoma"/>
            <family val="2"/>
            <charset val="204"/>
          </rPr>
          <t xml:space="preserve">
в т.ч. отп. 18 дн.</t>
        </r>
      </text>
    </comment>
    <comment ref="AJ44" authorId="2">
      <text>
        <r>
          <rPr>
            <b/>
            <sz val="8"/>
            <color indexed="81"/>
            <rFont val="Tahoma"/>
            <family val="2"/>
            <charset val="204"/>
          </rPr>
          <t>Светлана Нагайцева:</t>
        </r>
        <r>
          <rPr>
            <sz val="8"/>
            <color indexed="81"/>
            <rFont val="Tahoma"/>
            <family val="2"/>
            <charset val="204"/>
          </rPr>
          <t xml:space="preserve">
Отпуск 10 дн.</t>
        </r>
      </text>
    </comment>
    <comment ref="AQ44" authorId="2">
      <text>
        <r>
          <rPr>
            <b/>
            <sz val="8"/>
            <color indexed="81"/>
            <rFont val="Tahoma"/>
            <family val="2"/>
            <charset val="204"/>
          </rPr>
          <t>Светлана Нагайцева:</t>
        </r>
        <r>
          <rPr>
            <sz val="8"/>
            <color indexed="81"/>
            <rFont val="Tahoma"/>
            <family val="2"/>
            <charset val="204"/>
          </rPr>
          <t xml:space="preserve">
регресс</t>
        </r>
      </text>
    </comment>
    <comment ref="AU44" authorId="2">
      <text>
        <r>
          <rPr>
            <b/>
            <sz val="8"/>
            <color indexed="81"/>
            <rFont val="Tahoma"/>
            <family val="2"/>
            <charset val="204"/>
          </rPr>
          <t>Светлана Нагайцева:</t>
        </r>
        <r>
          <rPr>
            <sz val="8"/>
            <color indexed="81"/>
            <rFont val="Tahoma"/>
            <family val="2"/>
            <charset val="204"/>
          </rPr>
          <t xml:space="preserve">
регресс</t>
        </r>
      </text>
    </comment>
    <comment ref="AY44" authorId="2">
      <text>
        <r>
          <rPr>
            <b/>
            <sz val="8"/>
            <color indexed="81"/>
            <rFont val="Tahoma"/>
            <family val="2"/>
            <charset val="204"/>
          </rPr>
          <t>Светлана Нагайцева:</t>
        </r>
        <r>
          <rPr>
            <sz val="8"/>
            <color indexed="81"/>
            <rFont val="Tahoma"/>
            <family val="2"/>
            <charset val="204"/>
          </rPr>
          <t xml:space="preserve">
регресс</t>
        </r>
      </text>
    </comment>
    <comment ref="L45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в т.ч отпуск 12380,90</t>
        </r>
      </text>
    </comment>
    <comment ref="D46" authorId="0">
      <text>
        <r>
          <rPr>
            <b/>
            <sz val="8"/>
            <color indexed="81"/>
            <rFont val="Tahoma"/>
            <family val="2"/>
            <charset val="204"/>
          </rPr>
          <t>в т.ч. ПРЕМИЯ</t>
        </r>
      </text>
    </comment>
    <comment ref="X46" authorId="0">
      <text>
        <r>
          <rPr>
            <b/>
            <sz val="8"/>
            <color indexed="81"/>
            <rFont val="Tahoma"/>
            <family val="2"/>
            <charset val="204"/>
          </rPr>
          <t>Регресс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A46" authorId="0">
      <text>
        <r>
          <rPr>
            <b/>
            <sz val="8"/>
            <color indexed="81"/>
            <rFont val="Tahoma"/>
            <family val="2"/>
            <charset val="204"/>
          </rPr>
          <t>с учетом регресса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B46" authorId="0">
      <text>
        <r>
          <rPr>
            <b/>
            <sz val="8"/>
            <color indexed="81"/>
            <rFont val="Tahoma"/>
            <family val="2"/>
            <charset val="204"/>
          </rPr>
          <t>Регресс</t>
        </r>
        <r>
          <rPr>
            <sz val="8"/>
            <color indexed="81"/>
            <rFont val="Tahoma"/>
            <family val="2"/>
            <charset val="204"/>
          </rPr>
          <t xml:space="preserve">
отпуск 2 дн.</t>
        </r>
      </text>
    </comment>
    <comment ref="AE46" authorId="0">
      <text>
        <r>
          <rPr>
            <b/>
            <sz val="8"/>
            <color indexed="81"/>
            <rFont val="Tahoma"/>
            <family val="2"/>
            <charset val="204"/>
          </rPr>
          <t>с учетом регресса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F46" authorId="2">
      <text>
        <r>
          <rPr>
            <b/>
            <sz val="8"/>
            <color indexed="81"/>
            <rFont val="Tahoma"/>
            <family val="2"/>
            <charset val="204"/>
          </rPr>
          <t>Светлана Нагайцева:</t>
        </r>
        <r>
          <rPr>
            <sz val="8"/>
            <color indexed="81"/>
            <rFont val="Tahoma"/>
            <family val="2"/>
            <charset val="204"/>
          </rPr>
          <t xml:space="preserve">
в т.ч. Отпуск 15 дн</t>
        </r>
      </text>
    </comment>
    <comment ref="AI46" authorId="0">
      <text>
        <r>
          <rPr>
            <b/>
            <sz val="8"/>
            <color indexed="81"/>
            <rFont val="Tahoma"/>
            <family val="2"/>
            <charset val="204"/>
          </rPr>
          <t>с учетом регресса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M46" authorId="0">
      <text>
        <r>
          <rPr>
            <b/>
            <sz val="8"/>
            <color indexed="81"/>
            <rFont val="Tahoma"/>
            <family val="2"/>
            <charset val="204"/>
          </rPr>
          <t>с учетом регресса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N46" authorId="2">
      <text>
        <r>
          <rPr>
            <b/>
            <sz val="8"/>
            <color indexed="81"/>
            <rFont val="Tahoma"/>
            <family val="2"/>
            <charset val="204"/>
          </rPr>
          <t>Светлана Нагайцева:</t>
        </r>
        <r>
          <rPr>
            <sz val="8"/>
            <color indexed="81"/>
            <rFont val="Tahoma"/>
            <family val="2"/>
            <charset val="204"/>
          </rPr>
          <t xml:space="preserve">
отпуск 5 дн., до 02.11.12</t>
        </r>
      </text>
    </comment>
    <comment ref="AQ46" authorId="0">
      <text>
        <r>
          <rPr>
            <b/>
            <sz val="8"/>
            <color indexed="81"/>
            <rFont val="Tahoma"/>
            <family val="2"/>
            <charset val="204"/>
          </rPr>
          <t>с учетом регресса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U46" authorId="0">
      <text>
        <r>
          <rPr>
            <b/>
            <sz val="8"/>
            <color indexed="81"/>
            <rFont val="Tahoma"/>
            <family val="2"/>
            <charset val="204"/>
          </rPr>
          <t>с учетом регресса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Y46" authorId="0">
      <text>
        <r>
          <rPr>
            <b/>
            <sz val="8"/>
            <color indexed="81"/>
            <rFont val="Tahoma"/>
            <family val="2"/>
            <charset val="204"/>
          </rPr>
          <t>с учетом регресса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L47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в т.ч отпуск 13003,20</t>
        </r>
      </text>
    </comment>
    <comment ref="P48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в т.ч отпуск</t>
        </r>
      </text>
    </comment>
    <comment ref="AN48" authorId="2">
      <text>
        <r>
          <rPr>
            <b/>
            <sz val="8"/>
            <color indexed="81"/>
            <rFont val="Tahoma"/>
            <family val="2"/>
            <charset val="204"/>
          </rPr>
          <t>Светлана Нагайцева:</t>
        </r>
        <r>
          <rPr>
            <sz val="8"/>
            <color indexed="81"/>
            <rFont val="Tahoma"/>
            <family val="2"/>
            <charset val="204"/>
          </rPr>
          <t xml:space="preserve">
отпуск 15 дн.</t>
        </r>
      </text>
    </comment>
    <comment ref="P49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в т.ч. отпуск</t>
        </r>
      </text>
    </comment>
    <comment ref="X49" authorId="1">
      <text>
        <r>
          <rPr>
            <b/>
            <sz val="10"/>
            <color indexed="81"/>
            <rFont val="Tahoma"/>
            <family val="2"/>
            <charset val="204"/>
          </rPr>
          <t>nsveta:</t>
        </r>
        <r>
          <rPr>
            <sz val="10"/>
            <color indexed="81"/>
            <rFont val="Tahoma"/>
            <family val="2"/>
            <charset val="204"/>
          </rPr>
          <t xml:space="preserve">
в т.ч. Отпуск 18 дн.: 4116,48 - за июнь; 20582,40 - за июль</t>
        </r>
      </text>
    </comment>
    <comment ref="AB49" authorId="2">
      <text>
        <r>
          <rPr>
            <b/>
            <sz val="8"/>
            <color indexed="81"/>
            <rFont val="Tahoma"/>
            <family val="2"/>
            <charset val="204"/>
          </rPr>
          <t>Светлана Нагайцева:</t>
        </r>
        <r>
          <rPr>
            <sz val="8"/>
            <color indexed="81"/>
            <rFont val="Tahoma"/>
            <family val="2"/>
            <charset val="204"/>
          </rPr>
          <t xml:space="preserve">
отпуск</t>
        </r>
      </text>
    </comment>
    <comment ref="AN50" authorId="2">
      <text>
        <r>
          <rPr>
            <b/>
            <sz val="8"/>
            <color indexed="81"/>
            <rFont val="Tahoma"/>
            <family val="2"/>
            <charset val="204"/>
          </rPr>
          <t>Светлана Нагайцева:</t>
        </r>
        <r>
          <rPr>
            <sz val="8"/>
            <color indexed="81"/>
            <rFont val="Tahoma"/>
            <family val="2"/>
            <charset val="204"/>
          </rPr>
          <t xml:space="preserve">
уволен 04/10/12</t>
        </r>
      </text>
    </comment>
    <comment ref="AR50" authorId="2">
      <text>
        <r>
          <rPr>
            <b/>
            <sz val="8"/>
            <color indexed="81"/>
            <rFont val="Tahoma"/>
            <family val="2"/>
            <charset val="204"/>
          </rPr>
          <t>Светлана Нагайцева:</t>
        </r>
        <r>
          <rPr>
            <sz val="8"/>
            <color indexed="81"/>
            <rFont val="Tahoma"/>
            <family val="2"/>
            <charset val="204"/>
          </rPr>
          <t xml:space="preserve">
уволен 04/10/12</t>
        </r>
      </text>
    </comment>
    <comment ref="AV50" authorId="2">
      <text>
        <r>
          <rPr>
            <b/>
            <sz val="8"/>
            <color indexed="81"/>
            <rFont val="Tahoma"/>
            <family val="2"/>
            <charset val="204"/>
          </rPr>
          <t>Светлана Нагайцева:</t>
        </r>
        <r>
          <rPr>
            <sz val="8"/>
            <color indexed="81"/>
            <rFont val="Tahoma"/>
            <family val="2"/>
            <charset val="204"/>
          </rPr>
          <t xml:space="preserve">
уволен 04/10/12</t>
        </r>
      </text>
    </comment>
    <comment ref="L53" authorId="0">
      <text>
        <r>
          <rPr>
            <sz val="8"/>
            <color indexed="81"/>
            <rFont val="Tahoma"/>
            <family val="2"/>
            <charset val="204"/>
          </rPr>
          <t>В т.ч. отпуск 26190,36</t>
        </r>
      </text>
    </comment>
    <comment ref="L54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В т.ч. Отпуск 22353,38</t>
        </r>
      </text>
    </comment>
    <comment ref="L55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в т.ч. отпуск 12986,96</t>
        </r>
      </text>
    </comment>
    <comment ref="P57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в.ч. Отпуск
</t>
        </r>
      </text>
    </comment>
    <comment ref="T57" authorId="0">
      <text>
        <r>
          <rPr>
            <b/>
            <sz val="10"/>
            <color indexed="81"/>
            <rFont val="Tahoma"/>
            <family val="2"/>
            <charset val="204"/>
          </rPr>
          <t>Автор:</t>
        </r>
        <r>
          <rPr>
            <sz val="10"/>
            <color indexed="81"/>
            <rFont val="Tahoma"/>
            <family val="2"/>
            <charset val="204"/>
          </rPr>
          <t xml:space="preserve">
отпуск до 05.05.12 вкл., отпускные начислены в апреле</t>
        </r>
      </text>
    </comment>
    <comment ref="X57" authorId="0">
      <text>
        <r>
          <rPr>
            <b/>
            <sz val="10"/>
            <color indexed="81"/>
            <rFont val="Tahoma"/>
            <family val="2"/>
            <charset val="204"/>
          </rPr>
          <t>Автор:</t>
        </r>
        <r>
          <rPr>
            <sz val="10"/>
            <color indexed="81"/>
            <rFont val="Tahoma"/>
            <family val="2"/>
            <charset val="204"/>
          </rPr>
          <t xml:space="preserve">
в т.ч. Отпуск 3 дн.</t>
        </r>
      </text>
    </comment>
    <comment ref="AB57" authorId="2">
      <text>
        <r>
          <rPr>
            <b/>
            <sz val="8"/>
            <color indexed="81"/>
            <rFont val="Tahoma"/>
            <family val="2"/>
            <charset val="204"/>
          </rPr>
          <t>Светлана Нагайцева:</t>
        </r>
        <r>
          <rPr>
            <sz val="8"/>
            <color indexed="81"/>
            <rFont val="Tahoma"/>
            <family val="2"/>
            <charset val="204"/>
          </rPr>
          <t xml:space="preserve">
больничный 7 дн. = Оклад - 21250+ больничный за счет работ. - 998,49 (больничный за счет ФСС - 1331,32 - НЕ ВКЛЮЧАЕМ В РАСХОДЫ)</t>
        </r>
      </text>
    </comment>
    <comment ref="AE57" authorId="2">
      <text>
        <r>
          <rPr>
            <b/>
            <sz val="8"/>
            <color indexed="81"/>
            <rFont val="Tahoma"/>
            <family val="2"/>
            <charset val="204"/>
          </rPr>
          <t>Светлана Нагайцева:</t>
        </r>
        <r>
          <rPr>
            <sz val="8"/>
            <color indexed="81"/>
            <rFont val="Tahoma"/>
            <family val="2"/>
            <charset val="204"/>
          </rPr>
          <t xml:space="preserve">
больничный не включается в расчет</t>
        </r>
      </text>
    </comment>
    <comment ref="AJ57" authorId="2">
      <text>
        <r>
          <rPr>
            <b/>
            <sz val="8"/>
            <color indexed="81"/>
            <rFont val="Tahoma"/>
            <family val="2"/>
            <charset val="204"/>
          </rPr>
          <t>Светлана Нагайцева:</t>
        </r>
        <r>
          <rPr>
            <sz val="8"/>
            <color indexed="81"/>
            <rFont val="Tahoma"/>
            <family val="2"/>
            <charset val="204"/>
          </rPr>
          <t xml:space="preserve">
больничный 7 дн. = Оклад - 20625,00+ больничный за счет работ. - 998,49 (больничный за счет ФСС - 1331,32 - НЕ ВКЛЮЧАЕМ В РАСХОДЫ)</t>
        </r>
      </text>
    </comment>
    <comment ref="AM57" authorId="2">
      <text>
        <r>
          <rPr>
            <b/>
            <sz val="8"/>
            <color indexed="81"/>
            <rFont val="Tahoma"/>
            <family val="2"/>
            <charset val="204"/>
          </rPr>
          <t>Светлана Нагайцева:</t>
        </r>
        <r>
          <rPr>
            <sz val="8"/>
            <color indexed="81"/>
            <rFont val="Tahoma"/>
            <family val="2"/>
            <charset val="204"/>
          </rPr>
          <t xml:space="preserve">
больничный не включается в расчет</t>
        </r>
      </text>
    </comment>
    <comment ref="L58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в т.ч. отпуск 26520,76</t>
        </r>
      </text>
    </comment>
    <comment ref="L59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в т.ч. отпуск 42424,48</t>
        </r>
      </text>
    </comment>
    <comment ref="L60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в т.ч отпуск 24272,08</t>
        </r>
      </text>
    </comment>
    <comment ref="AJ61" authorId="2">
      <text>
        <r>
          <rPr>
            <b/>
            <sz val="8"/>
            <color indexed="81"/>
            <rFont val="Tahoma"/>
            <family val="2"/>
            <charset val="204"/>
          </rPr>
          <t>Светлана Нагайцева:</t>
        </r>
        <r>
          <rPr>
            <sz val="8"/>
            <color indexed="81"/>
            <rFont val="Tahoma"/>
            <family val="2"/>
            <charset val="204"/>
          </rPr>
          <t xml:space="preserve">
больничный 4 дн. = Оклад - 40000,00+ больничный за счет работ. - 2099,82 (больничный за счет ФСС - 699,94 - НЕ ВКЛЮЧАЕМ В РАСХОДЫ)</t>
        </r>
      </text>
    </comment>
    <comment ref="AN61" authorId="2">
      <text>
        <r>
          <rPr>
            <b/>
            <sz val="8"/>
            <color indexed="81"/>
            <rFont val="Tahoma"/>
            <family val="2"/>
            <charset val="204"/>
          </rPr>
          <t>Светлана Нагайцева:</t>
        </r>
        <r>
          <rPr>
            <sz val="8"/>
            <color indexed="81"/>
            <rFont val="Tahoma"/>
            <family val="2"/>
            <charset val="204"/>
          </rPr>
          <t xml:space="preserve">
больничный 4 дн. = Оклад - 41739,13+ больничный за счет работ. - 2099,82 (больничный за счет ФСС - 4199,64 - НЕ ВКЛЮЧАЕМ В РАСХОДЫ)</t>
        </r>
      </text>
    </comment>
    <comment ref="L62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в т.ч отпуск 24242,40
</t>
        </r>
      </text>
    </comment>
    <comment ref="D63" authorId="0">
      <text>
        <r>
          <rPr>
            <b/>
            <sz val="8"/>
            <color indexed="81"/>
            <rFont val="Tahoma"/>
            <family val="2"/>
            <charset val="204"/>
          </rPr>
          <t>в т.ч. ПРЕМИЯ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N63" authorId="2">
      <text>
        <r>
          <rPr>
            <b/>
            <sz val="8"/>
            <color indexed="81"/>
            <rFont val="Tahoma"/>
            <family val="2"/>
            <charset val="204"/>
          </rPr>
          <t>Светлана Нагайцева:</t>
        </r>
        <r>
          <rPr>
            <sz val="8"/>
            <color indexed="81"/>
            <rFont val="Tahoma"/>
            <family val="2"/>
            <charset val="204"/>
          </rPr>
          <t xml:space="preserve">
отпуск 14 дн.</t>
        </r>
      </text>
    </comment>
    <comment ref="L64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в т.ч. ком. ув. 5205,97</t>
        </r>
      </text>
    </comment>
    <comment ref="L65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в т.ч. 26839,96</t>
        </r>
      </text>
    </comment>
    <comment ref="L66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в т.ч. 12986,96</t>
        </r>
      </text>
    </comment>
    <comment ref="X68" authorId="1">
      <text>
        <r>
          <rPr>
            <b/>
            <sz val="10"/>
            <color indexed="81"/>
            <rFont val="Tahoma"/>
            <family val="2"/>
            <charset val="204"/>
          </rPr>
          <t>nsveta:</t>
        </r>
        <r>
          <rPr>
            <sz val="10"/>
            <color indexed="81"/>
            <rFont val="Tahoma"/>
            <family val="2"/>
            <charset val="204"/>
          </rPr>
          <t xml:space="preserve">
в т.ч. Отпуск 1 д.</t>
        </r>
      </text>
    </comment>
    <comment ref="AB68" authorId="2">
      <text>
        <r>
          <rPr>
            <b/>
            <sz val="8"/>
            <color indexed="81"/>
            <rFont val="Tahoma"/>
            <family val="2"/>
            <charset val="204"/>
          </rPr>
          <t>Светлана Нагайцева:</t>
        </r>
        <r>
          <rPr>
            <sz val="8"/>
            <color indexed="81"/>
            <rFont val="Tahoma"/>
            <family val="2"/>
            <charset val="204"/>
          </rPr>
          <t xml:space="preserve">
отпуск</t>
        </r>
      </text>
    </comment>
    <comment ref="AN68" authorId="2">
      <text>
        <r>
          <rPr>
            <b/>
            <sz val="8"/>
            <color indexed="81"/>
            <rFont val="Tahoma"/>
            <family val="2"/>
            <charset val="204"/>
          </rPr>
          <t>Светлана Нагайцева:</t>
        </r>
        <r>
          <rPr>
            <sz val="8"/>
            <color indexed="81"/>
            <rFont val="Tahoma"/>
            <family val="2"/>
            <charset val="204"/>
          </rPr>
          <t xml:space="preserve">
отпуск 3 дн.</t>
        </r>
      </text>
    </comment>
    <comment ref="AB69" authorId="2">
      <text>
        <r>
          <rPr>
            <b/>
            <sz val="8"/>
            <color indexed="81"/>
            <rFont val="Tahoma"/>
            <family val="2"/>
            <charset val="204"/>
          </rPr>
          <t>Светлана Нагайцева:</t>
        </r>
        <r>
          <rPr>
            <sz val="8"/>
            <color indexed="81"/>
            <rFont val="Tahoma"/>
            <family val="2"/>
            <charset val="204"/>
          </rPr>
          <t xml:space="preserve">
отпуск</t>
        </r>
      </text>
    </comment>
    <comment ref="AE73" authorId="2">
      <text>
        <r>
          <rPr>
            <b/>
            <sz val="8"/>
            <color indexed="81"/>
            <rFont val="Tahoma"/>
            <family val="2"/>
            <charset val="204"/>
          </rPr>
          <t>Светлана Нагайцева:</t>
        </r>
        <r>
          <rPr>
            <sz val="8"/>
            <color indexed="81"/>
            <rFont val="Tahoma"/>
            <family val="2"/>
            <charset val="204"/>
          </rPr>
          <t xml:space="preserve">
больничный не включается в расчет</t>
        </r>
      </text>
    </comment>
    <comment ref="AB77" authorId="2">
      <text>
        <r>
          <rPr>
            <b/>
            <sz val="8"/>
            <color indexed="81"/>
            <rFont val="Tahoma"/>
            <family val="2"/>
            <charset val="204"/>
          </rPr>
          <t>Светлана Нагайцева:</t>
        </r>
        <r>
          <rPr>
            <sz val="8"/>
            <color indexed="81"/>
            <rFont val="Tahoma"/>
            <family val="2"/>
            <charset val="204"/>
          </rPr>
          <t xml:space="preserve">
плюс больничный за счет ФСС Санникова - 1331,32</t>
        </r>
      </text>
    </comment>
  </commentList>
</comments>
</file>

<file path=xl/comments5.xml><?xml version="1.0" encoding="utf-8"?>
<comments xmlns="http://schemas.openxmlformats.org/spreadsheetml/2006/main">
  <authors>
    <author>Ирина Шевцова</author>
    <author>Кондрашова Марина</author>
    <author>Administrator</author>
  </authors>
  <commentList>
    <comment ref="ID5" authorId="0">
      <text>
        <r>
          <rPr>
            <b/>
            <sz val="8"/>
            <color indexed="81"/>
            <rFont val="Tahoma"/>
            <family val="2"/>
            <charset val="204"/>
          </rPr>
          <t>Ирина Шевцова:</t>
        </r>
        <r>
          <rPr>
            <sz val="8"/>
            <color indexed="81"/>
            <rFont val="Tahoma"/>
            <family val="2"/>
            <charset val="204"/>
          </rPr>
          <t xml:space="preserve">
в т.ч. Отпуск 24 272,08</t>
        </r>
      </text>
    </comment>
    <comment ref="ID6" authorId="0">
      <text>
        <r>
          <rPr>
            <b/>
            <sz val="8"/>
            <color indexed="81"/>
            <rFont val="Tahoma"/>
            <family val="2"/>
            <charset val="204"/>
          </rPr>
          <t>Ирина Шевцова:</t>
        </r>
        <r>
          <rPr>
            <sz val="8"/>
            <color indexed="81"/>
            <rFont val="Tahoma"/>
            <family val="2"/>
            <charset val="204"/>
          </rPr>
          <t xml:space="preserve">
в т.ч. Отпуск 19 935,44
</t>
        </r>
      </text>
    </comment>
    <comment ref="ID9" authorId="0">
      <text>
        <r>
          <rPr>
            <b/>
            <sz val="8"/>
            <color indexed="81"/>
            <rFont val="Tahoma"/>
            <family val="2"/>
            <charset val="204"/>
          </rPr>
          <t>Ирина Шевцова:</t>
        </r>
        <r>
          <rPr>
            <sz val="8"/>
            <color indexed="81"/>
            <rFont val="Tahoma"/>
            <family val="2"/>
            <charset val="204"/>
          </rPr>
          <t xml:space="preserve">
в т.ч отпуск 21 818,16</t>
        </r>
      </text>
    </comment>
    <comment ref="ID11" authorId="0">
      <text>
        <r>
          <rPr>
            <b/>
            <sz val="8"/>
            <color indexed="81"/>
            <rFont val="Tahoma"/>
            <family val="2"/>
            <charset val="204"/>
          </rPr>
          <t>Ирина Шевцова:</t>
        </r>
        <r>
          <rPr>
            <sz val="8"/>
            <color indexed="81"/>
            <rFont val="Tahoma"/>
            <family val="2"/>
            <charset val="204"/>
          </rPr>
          <t xml:space="preserve">
в т.ч отпуск 26 406,80</t>
        </r>
      </text>
    </comment>
    <comment ref="ID16" authorId="0">
      <text>
        <r>
          <rPr>
            <b/>
            <sz val="8"/>
            <color indexed="81"/>
            <rFont val="Tahoma"/>
            <family val="2"/>
            <charset val="204"/>
          </rPr>
          <t>Ирина Шевцова:</t>
        </r>
        <r>
          <rPr>
            <sz val="8"/>
            <color indexed="81"/>
            <rFont val="Tahoma"/>
            <family val="2"/>
            <charset val="204"/>
          </rPr>
          <t xml:space="preserve">
в т.ч отпуск 21818,16</t>
        </r>
      </text>
    </comment>
    <comment ref="GN18" authorId="1">
      <text>
        <r>
          <rPr>
            <b/>
            <sz val="8"/>
            <color indexed="81"/>
            <rFont val="Tahoma"/>
            <family val="2"/>
            <charset val="204"/>
          </rPr>
          <t>з/п + отпуск переходящ на ФЕВР.12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ID20" authorId="0">
      <text>
        <r>
          <rPr>
            <b/>
            <sz val="8"/>
            <color indexed="81"/>
            <rFont val="Tahoma"/>
            <family val="2"/>
            <charset val="204"/>
          </rPr>
          <t>Ирина Шевцова:</t>
        </r>
        <r>
          <rPr>
            <sz val="8"/>
            <color indexed="81"/>
            <rFont val="Tahoma"/>
            <family val="2"/>
            <charset val="204"/>
          </rPr>
          <t xml:space="preserve">
в т.ч отпуск 35134,40</t>
        </r>
      </text>
    </comment>
    <comment ref="ID22" authorId="0">
      <text>
        <r>
          <rPr>
            <b/>
            <sz val="8"/>
            <color indexed="81"/>
            <rFont val="Tahoma"/>
            <family val="2"/>
            <charset val="204"/>
          </rPr>
          <t>Ирина Шевцова:</t>
        </r>
        <r>
          <rPr>
            <sz val="8"/>
            <color indexed="81"/>
            <rFont val="Tahoma"/>
            <family val="2"/>
            <charset val="204"/>
          </rPr>
          <t xml:space="preserve">
в т.ч отпуск 15151,64</t>
        </r>
      </text>
    </comment>
    <comment ref="ID30" authorId="0">
      <text>
        <r>
          <rPr>
            <b/>
            <sz val="8"/>
            <color indexed="81"/>
            <rFont val="Tahoma"/>
            <family val="2"/>
            <charset val="204"/>
          </rPr>
          <t>Ирина Шевцова:</t>
        </r>
        <r>
          <rPr>
            <sz val="8"/>
            <color indexed="81"/>
            <rFont val="Tahoma"/>
            <family val="2"/>
            <charset val="204"/>
          </rPr>
          <t xml:space="preserve">
в т.ч отпуск 25595,36</t>
        </r>
      </text>
    </comment>
    <comment ref="ID31" authorId="0">
      <text>
        <r>
          <rPr>
            <b/>
            <sz val="8"/>
            <color indexed="81"/>
            <rFont val="Tahoma"/>
            <family val="2"/>
            <charset val="204"/>
          </rPr>
          <t>Ирина Шевцова:</t>
        </r>
        <r>
          <rPr>
            <sz val="8"/>
            <color indexed="81"/>
            <rFont val="Tahoma"/>
            <family val="2"/>
            <charset val="204"/>
          </rPr>
          <t xml:space="preserve">
в т.ч отпуск 34239,80
</t>
        </r>
      </text>
    </comment>
    <comment ref="ID37" authorId="0">
      <text>
        <r>
          <rPr>
            <b/>
            <sz val="8"/>
            <color indexed="81"/>
            <rFont val="Tahoma"/>
            <family val="2"/>
            <charset val="204"/>
          </rPr>
          <t>Ирина Шевцова:</t>
        </r>
        <r>
          <rPr>
            <sz val="8"/>
            <color indexed="81"/>
            <rFont val="Tahoma"/>
            <family val="2"/>
            <charset val="204"/>
          </rPr>
          <t xml:space="preserve">
в т.ч отпуск 70425,6</t>
        </r>
      </text>
    </comment>
    <comment ref="ID38" authorId="0">
      <text>
        <r>
          <rPr>
            <b/>
            <sz val="8"/>
            <color indexed="81"/>
            <rFont val="Tahoma"/>
            <family val="2"/>
            <charset val="204"/>
          </rPr>
          <t>Ирина Шевцова:</t>
        </r>
        <r>
          <rPr>
            <sz val="8"/>
            <color indexed="81"/>
            <rFont val="Tahoma"/>
            <family val="2"/>
            <charset val="204"/>
          </rPr>
          <t xml:space="preserve">
в т.ч отпуск 24242,40</t>
        </r>
      </text>
    </comment>
    <comment ref="ID40" authorId="0">
      <text>
        <r>
          <rPr>
            <b/>
            <sz val="8"/>
            <color indexed="81"/>
            <rFont val="Tahoma"/>
            <family val="2"/>
            <charset val="204"/>
          </rPr>
          <t>Ирина Шевцова:</t>
        </r>
        <r>
          <rPr>
            <sz val="8"/>
            <color indexed="81"/>
            <rFont val="Tahoma"/>
            <family val="2"/>
            <charset val="204"/>
          </rPr>
          <t xml:space="preserve">
в т.ч отпуск 21309,40</t>
        </r>
      </text>
    </comment>
    <comment ref="ID42" authorId="0">
      <text>
        <r>
          <rPr>
            <b/>
            <sz val="8"/>
            <color indexed="81"/>
            <rFont val="Tahoma"/>
            <family val="2"/>
            <charset val="204"/>
          </rPr>
          <t>Ирина Шевцова:</t>
        </r>
        <r>
          <rPr>
            <sz val="8"/>
            <color indexed="81"/>
            <rFont val="Tahoma"/>
            <family val="2"/>
            <charset val="204"/>
          </rPr>
          <t xml:space="preserve">
в т.ч отпуск 12380,90</t>
        </r>
      </text>
    </comment>
    <comment ref="GV43" authorId="2">
      <text>
        <r>
          <rPr>
            <b/>
            <sz val="9"/>
            <color indexed="81"/>
            <rFont val="Tahoma"/>
            <charset val="1"/>
          </rPr>
          <t>Administrator:</t>
        </r>
        <r>
          <rPr>
            <sz val="9"/>
            <color indexed="81"/>
            <rFont val="Tahoma"/>
            <charset val="1"/>
          </rPr>
          <t xml:space="preserve">
57941,85</t>
        </r>
      </text>
    </comment>
    <comment ref="ID44" authorId="0">
      <text>
        <r>
          <rPr>
            <b/>
            <sz val="8"/>
            <color indexed="81"/>
            <rFont val="Tahoma"/>
            <family val="2"/>
            <charset val="204"/>
          </rPr>
          <t>Ирина Шевцова:</t>
        </r>
        <r>
          <rPr>
            <sz val="8"/>
            <color indexed="81"/>
            <rFont val="Tahoma"/>
            <family val="2"/>
            <charset val="204"/>
          </rPr>
          <t xml:space="preserve">
в т.ч отпуск 13003,20</t>
        </r>
      </text>
    </comment>
    <comment ref="ID50" authorId="0">
      <text>
        <r>
          <rPr>
            <sz val="8"/>
            <color indexed="81"/>
            <rFont val="Tahoma"/>
            <family val="2"/>
            <charset val="204"/>
          </rPr>
          <t>В т.ч. отпуск 26190,36</t>
        </r>
      </text>
    </comment>
    <comment ref="ID51" authorId="0">
      <text>
        <r>
          <rPr>
            <b/>
            <sz val="8"/>
            <color indexed="81"/>
            <rFont val="Tahoma"/>
            <family val="2"/>
            <charset val="204"/>
          </rPr>
          <t>Ирина Шевцова:</t>
        </r>
        <r>
          <rPr>
            <sz val="8"/>
            <color indexed="81"/>
            <rFont val="Tahoma"/>
            <family val="2"/>
            <charset val="204"/>
          </rPr>
          <t xml:space="preserve">
В т.ч. Отпуск 22353,38</t>
        </r>
      </text>
    </comment>
    <comment ref="ID52" authorId="0">
      <text>
        <r>
          <rPr>
            <b/>
            <sz val="8"/>
            <color indexed="81"/>
            <rFont val="Tahoma"/>
            <family val="2"/>
            <charset val="204"/>
          </rPr>
          <t>Ирина Шевцова:</t>
        </r>
        <r>
          <rPr>
            <sz val="8"/>
            <color indexed="81"/>
            <rFont val="Tahoma"/>
            <family val="2"/>
            <charset val="204"/>
          </rPr>
          <t xml:space="preserve">
в т.ч. отпуск 12986,96</t>
        </r>
      </text>
    </comment>
    <comment ref="ID55" authorId="0">
      <text>
        <r>
          <rPr>
            <b/>
            <sz val="8"/>
            <color indexed="81"/>
            <rFont val="Tahoma"/>
            <family val="2"/>
            <charset val="204"/>
          </rPr>
          <t>Ирина Шевцова:</t>
        </r>
        <r>
          <rPr>
            <sz val="8"/>
            <color indexed="81"/>
            <rFont val="Tahoma"/>
            <family val="2"/>
            <charset val="204"/>
          </rPr>
          <t xml:space="preserve">
в т.ч. отпуск 26520,76</t>
        </r>
      </text>
    </comment>
    <comment ref="ID56" authorId="0">
      <text>
        <r>
          <rPr>
            <b/>
            <sz val="8"/>
            <color indexed="81"/>
            <rFont val="Tahoma"/>
            <family val="2"/>
            <charset val="204"/>
          </rPr>
          <t>Ирина Шевцова:</t>
        </r>
        <r>
          <rPr>
            <sz val="8"/>
            <color indexed="81"/>
            <rFont val="Tahoma"/>
            <family val="2"/>
            <charset val="204"/>
          </rPr>
          <t xml:space="preserve">
в т.ч. отпуск 42424,48</t>
        </r>
      </text>
    </comment>
    <comment ref="ID57" authorId="0">
      <text>
        <r>
          <rPr>
            <b/>
            <sz val="8"/>
            <color indexed="81"/>
            <rFont val="Tahoma"/>
            <family val="2"/>
            <charset val="204"/>
          </rPr>
          <t>Ирина Шевцова:</t>
        </r>
        <r>
          <rPr>
            <sz val="8"/>
            <color indexed="81"/>
            <rFont val="Tahoma"/>
            <family val="2"/>
            <charset val="204"/>
          </rPr>
          <t xml:space="preserve">
в т.ч отпуск 24272,08</t>
        </r>
      </text>
    </comment>
    <comment ref="ID60" authorId="0">
      <text>
        <r>
          <rPr>
            <b/>
            <sz val="8"/>
            <color indexed="81"/>
            <rFont val="Tahoma"/>
            <family val="2"/>
            <charset val="204"/>
          </rPr>
          <t>Ирина Шевцова:</t>
        </r>
        <r>
          <rPr>
            <sz val="8"/>
            <color indexed="81"/>
            <rFont val="Tahoma"/>
            <family val="2"/>
            <charset val="204"/>
          </rPr>
          <t xml:space="preserve">
в т.ч отпуск 24242,40
</t>
        </r>
      </text>
    </comment>
    <comment ref="GN61" authorId="1">
      <text>
        <r>
          <rPr>
            <b/>
            <sz val="8"/>
            <color indexed="81"/>
            <rFont val="Tahoma"/>
            <family val="2"/>
            <charset val="204"/>
          </rPr>
          <t>в т.ч. Отпуск переходящ. Февр 1.658-76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V61" authorId="2">
      <text>
        <r>
          <rPr>
            <b/>
            <sz val="9"/>
            <color indexed="81"/>
            <rFont val="Tahoma"/>
            <charset val="1"/>
          </rPr>
          <t>Administrator:</t>
        </r>
        <r>
          <rPr>
            <sz val="9"/>
            <color indexed="81"/>
            <rFont val="Tahoma"/>
            <charset val="1"/>
          </rPr>
          <t xml:space="preserve">
24032,63</t>
        </r>
      </text>
    </comment>
    <comment ref="ID62" authorId="0">
      <text>
        <r>
          <rPr>
            <b/>
            <sz val="8"/>
            <color indexed="81"/>
            <rFont val="Tahoma"/>
            <family val="2"/>
            <charset val="204"/>
          </rPr>
          <t>Ирина Шевцова:</t>
        </r>
        <r>
          <rPr>
            <sz val="8"/>
            <color indexed="81"/>
            <rFont val="Tahoma"/>
            <family val="2"/>
            <charset val="204"/>
          </rPr>
          <t xml:space="preserve">
в т.ч. ком. ув. 5205,97</t>
        </r>
      </text>
    </comment>
    <comment ref="ID64" authorId="0">
      <text>
        <r>
          <rPr>
            <b/>
            <sz val="8"/>
            <color indexed="81"/>
            <rFont val="Tahoma"/>
            <family val="2"/>
            <charset val="204"/>
          </rPr>
          <t>Ирина Шевцова:</t>
        </r>
        <r>
          <rPr>
            <sz val="8"/>
            <color indexed="81"/>
            <rFont val="Tahoma"/>
            <family val="2"/>
            <charset val="204"/>
          </rPr>
          <t xml:space="preserve">
в т.ч. 26839,96</t>
        </r>
      </text>
    </comment>
    <comment ref="ID65" authorId="0">
      <text>
        <r>
          <rPr>
            <b/>
            <sz val="8"/>
            <color indexed="81"/>
            <rFont val="Tahoma"/>
            <family val="2"/>
            <charset val="204"/>
          </rPr>
          <t>Ирина Шевцова:</t>
        </r>
        <r>
          <rPr>
            <sz val="8"/>
            <color indexed="81"/>
            <rFont val="Tahoma"/>
            <family val="2"/>
            <charset val="204"/>
          </rPr>
          <t xml:space="preserve">
в т.ч. 12986,96</t>
        </r>
      </text>
    </comment>
    <comment ref="KH70" authorId="2">
      <text>
        <r>
          <rPr>
            <b/>
            <sz val="9"/>
            <color indexed="81"/>
            <rFont val="Tahoma"/>
            <family val="2"/>
            <charset val="204"/>
          </rPr>
          <t>Administrator:</t>
        </r>
        <r>
          <rPr>
            <sz val="9"/>
            <color indexed="81"/>
            <rFont val="Tahoma"/>
            <family val="2"/>
            <charset val="204"/>
          </rPr>
          <t xml:space="preserve">
уменьшаем для выхода на норматив за счет перегудова (уменьшаем ему списание на 3400)</t>
        </r>
      </text>
    </comment>
    <comment ref="LC70" authorId="2">
      <text>
        <r>
          <rPr>
            <b/>
            <sz val="9"/>
            <color indexed="81"/>
            <rFont val="Tahoma"/>
            <family val="2"/>
            <charset val="204"/>
          </rPr>
          <t>Administrator:</t>
        </r>
        <r>
          <rPr>
            <sz val="9"/>
            <color indexed="81"/>
            <rFont val="Tahoma"/>
            <family val="2"/>
            <charset val="204"/>
          </rPr>
          <t xml:space="preserve">
уменьшаем для выхода на норматив за счет перегудова (уменьшаем ему списание на 2650)</t>
        </r>
      </text>
    </comment>
    <comment ref="NI70" authorId="2">
      <text>
        <r>
          <rPr>
            <b/>
            <sz val="9"/>
            <color indexed="81"/>
            <rFont val="Tahoma"/>
            <family val="2"/>
            <charset val="204"/>
          </rPr>
          <t>Administrator:</t>
        </r>
        <r>
          <rPr>
            <sz val="9"/>
            <color indexed="81"/>
            <rFont val="Tahoma"/>
            <family val="2"/>
            <charset val="204"/>
          </rPr>
          <t xml:space="preserve">
занижаем для выхода на нужную цифру на 2 493,77 (перегудов)</t>
        </r>
      </text>
    </comment>
  </commentList>
</comments>
</file>

<file path=xl/sharedStrings.xml><?xml version="1.0" encoding="utf-8"?>
<sst xmlns="http://schemas.openxmlformats.org/spreadsheetml/2006/main" count="1327" uniqueCount="532">
  <si>
    <t>Сотрудник</t>
  </si>
  <si>
    <t>январь</t>
  </si>
  <si>
    <t>февраль</t>
  </si>
  <si>
    <t>март</t>
  </si>
  <si>
    <t>Аксенов Иван Александрович</t>
  </si>
  <si>
    <t>Дудка Сергей Юрьевич</t>
  </si>
  <si>
    <t>Кащенко Александр Александрович</t>
  </si>
  <si>
    <t>Козионов Кирилл Викторович</t>
  </si>
  <si>
    <t>Кочкин Александр Владимирович</t>
  </si>
  <si>
    <t>Краюшкин Денис Вячеславович</t>
  </si>
  <si>
    <t>Левдик Марина Валентиновна</t>
  </si>
  <si>
    <t>Логинов Виталий Викторович</t>
  </si>
  <si>
    <t>Мануилов Евгений Николаевич</t>
  </si>
  <si>
    <t>Мартьянов Дмитрий Сергеевич</t>
  </si>
  <si>
    <t>Неделина Анна Юрьевна</t>
  </si>
  <si>
    <t>Перегудов Александр Александрович</t>
  </si>
  <si>
    <t>Петухов Алексей Михайлович</t>
  </si>
  <si>
    <t>Савицкий Алексей Валентинович</t>
  </si>
  <si>
    <t>Сенющенков Петр Александрович</t>
  </si>
  <si>
    <t>Серегин Станислав Сергеевич</t>
  </si>
  <si>
    <t>Снитко Виктор Владимирович</t>
  </si>
  <si>
    <t>апрель</t>
  </si>
  <si>
    <t>май</t>
  </si>
  <si>
    <t>июнь</t>
  </si>
  <si>
    <t>июль</t>
  </si>
  <si>
    <t>август</t>
  </si>
  <si>
    <t>сентябрь</t>
  </si>
  <si>
    <t>Алещенко Сергей Алексеевич</t>
  </si>
  <si>
    <t>Перминов Алексей Николаевич</t>
  </si>
  <si>
    <t>Селиванов Александр Михайлович</t>
  </si>
  <si>
    <t>ИТОГ:</t>
  </si>
  <si>
    <t>Боровых Наталия Николаевна</t>
  </si>
  <si>
    <t>Журавлев Вадим Викторович</t>
  </si>
  <si>
    <t>Соколова Диана Олеговна</t>
  </si>
  <si>
    <t>Шмыков Алексей Викторович</t>
  </si>
  <si>
    <t>Юхименко Анна Андреевна</t>
  </si>
  <si>
    <t>Иванов Виталий Юрьевич</t>
  </si>
  <si>
    <t>Санникова Ирина Анатольевна</t>
  </si>
  <si>
    <t>Савченко Павел Анатольевич</t>
  </si>
  <si>
    <t>Чавтараев Рустам Баширович</t>
  </si>
  <si>
    <t>Чавтараев Башир Ахмедович</t>
  </si>
  <si>
    <t>Громов Максим Андреевич</t>
  </si>
  <si>
    <t>Иванов Алексей Владимирович</t>
  </si>
  <si>
    <t>Миллер Григорий Борисович</t>
  </si>
  <si>
    <t>Балабанов Константин Валерьевич</t>
  </si>
  <si>
    <t>Стефанович Алексей Игоревич</t>
  </si>
  <si>
    <t>октябрь</t>
  </si>
  <si>
    <t>ноябрь</t>
  </si>
  <si>
    <t>декабрь</t>
  </si>
  <si>
    <t>Босов Алексей Вячеславович</t>
  </si>
  <si>
    <t>10.01-28.02 - 13</t>
  </si>
  <si>
    <t>10.01-31.01 - 2</t>
  </si>
  <si>
    <t>10.01-31.03 - 4</t>
  </si>
  <si>
    <t>Навигация</t>
  </si>
  <si>
    <t>Нерита</t>
  </si>
  <si>
    <t xml:space="preserve">Внимание </t>
  </si>
  <si>
    <t>Заклад</t>
  </si>
  <si>
    <t>Б-7В</t>
  </si>
  <si>
    <t>Б-7Ф</t>
  </si>
  <si>
    <t>Гадалка-СПО</t>
  </si>
  <si>
    <t>01.01-31.07 - 35</t>
  </si>
  <si>
    <t>01.01-15.08 - 14</t>
  </si>
  <si>
    <t>01.04-30.09 - 7,5</t>
  </si>
  <si>
    <t>Баланс</t>
  </si>
  <si>
    <t>Б-7П</t>
  </si>
  <si>
    <t>01.01-15.08 - 30</t>
  </si>
  <si>
    <t>Фактические (договорные) затраты по проектам</t>
  </si>
  <si>
    <t>Тарасов Александр Владимирович</t>
  </si>
  <si>
    <t>04.02-22.02.12 - 147</t>
  </si>
  <si>
    <t>01.04-20.11 - 60,5</t>
  </si>
  <si>
    <t>Наутилус-С</t>
  </si>
  <si>
    <t>гадалка-СПО</t>
  </si>
  <si>
    <t>10.01-30.06 - 12,5</t>
  </si>
  <si>
    <t>Нарожная Ксения Михайловна</t>
  </si>
  <si>
    <t>Вахромеев Алексей Владимирович</t>
  </si>
  <si>
    <t>Рыжков Вадим Владимирович</t>
  </si>
  <si>
    <t>Новоселов Сергей Владимирович</t>
  </si>
  <si>
    <t>Храмов Максим Леонидович</t>
  </si>
  <si>
    <t>Краюшкина Елена Борисовна</t>
  </si>
  <si>
    <t>Пермяков Роман Сергеевич</t>
  </si>
  <si>
    <t>план март</t>
  </si>
  <si>
    <t>01.07-31.12 - 38,5</t>
  </si>
  <si>
    <t>ФОТ ТП</t>
  </si>
  <si>
    <t>Б-7.ПБИ.Анализ</t>
  </si>
  <si>
    <t>Б-7Р</t>
  </si>
  <si>
    <t>01.11-31.12 - 2</t>
  </si>
  <si>
    <t>15.11-31.12 - 3,5</t>
  </si>
  <si>
    <t>31.04.2012</t>
  </si>
  <si>
    <t>внимание 2-3</t>
  </si>
  <si>
    <t>наутилус-С 1</t>
  </si>
  <si>
    <t>наутилус-С 2</t>
  </si>
  <si>
    <t>моралист 1</t>
  </si>
  <si>
    <t>моралист 2</t>
  </si>
  <si>
    <t>внимание 3</t>
  </si>
  <si>
    <t>внимание 5</t>
  </si>
  <si>
    <t>внимание 4</t>
  </si>
  <si>
    <t>заклад 2-3</t>
  </si>
  <si>
    <t>навигация-МС 2</t>
  </si>
  <si>
    <t>нерита-С 2</t>
  </si>
  <si>
    <t>реалист 1</t>
  </si>
  <si>
    <t>буйвол 1</t>
  </si>
  <si>
    <t>настройка-С 1</t>
  </si>
  <si>
    <t>Б7-Анализ</t>
  </si>
  <si>
    <t>Реалист</t>
  </si>
  <si>
    <t>Моралист</t>
  </si>
  <si>
    <t>Буйвол</t>
  </si>
  <si>
    <t>Настройка-С</t>
  </si>
  <si>
    <t>Бабаян Мгер Ашотович</t>
  </si>
  <si>
    <t>Гайнуллин Иван Камилевич</t>
  </si>
  <si>
    <t>Кузьмин Виктор Вячеславович</t>
  </si>
  <si>
    <t>Внимание 4</t>
  </si>
  <si>
    <t>Внимание 5</t>
  </si>
  <si>
    <t>№ п/п</t>
  </si>
  <si>
    <t>Таб №</t>
  </si>
  <si>
    <t>ФИО</t>
  </si>
  <si>
    <t>З/П</t>
  </si>
  <si>
    <t>в т.ч.   отпуск</t>
  </si>
  <si>
    <t>Тр-ёмк</t>
  </si>
  <si>
    <t>СВ</t>
  </si>
  <si>
    <t>преходящ. Отпуск</t>
  </si>
  <si>
    <t>в т.ч.  отпуск</t>
  </si>
  <si>
    <t xml:space="preserve"> в т.ч. отпуск</t>
  </si>
  <si>
    <t>Аксенов И.А.</t>
  </si>
  <si>
    <t>Алещенко С.А.</t>
  </si>
  <si>
    <t>Алиулова Г.М.</t>
  </si>
  <si>
    <t>Бабаян М.А.</t>
  </si>
  <si>
    <t>Балабанов К.В.</t>
  </si>
  <si>
    <t>Босов А.В.</t>
  </si>
  <si>
    <t>Вахромеев А.В.</t>
  </si>
  <si>
    <t>Вечканова Н.Б.</t>
  </si>
  <si>
    <t>Гайнуллин И.К.</t>
  </si>
  <si>
    <t>Головин С.В.</t>
  </si>
  <si>
    <t>Громов М.А.</t>
  </si>
  <si>
    <t>Журавлев В.В.</t>
  </si>
  <si>
    <t>Иванов А.В.</t>
  </si>
  <si>
    <t>Иванов В.Ю.</t>
  </si>
  <si>
    <t>Козионов К.В.</t>
  </si>
  <si>
    <t>Козлов Д.Ю.</t>
  </si>
  <si>
    <t>Кочкин А.В.</t>
  </si>
  <si>
    <t>Краюшкин Д.В.</t>
  </si>
  <si>
    <t>Краюшкина Е.Б.</t>
  </si>
  <si>
    <t>Крикун Л.С.</t>
  </si>
  <si>
    <t>Кузьмин В.В.</t>
  </si>
  <si>
    <t>Лихачев Б.Н.</t>
  </si>
  <si>
    <t>Мануилов Е.Н.</t>
  </si>
  <si>
    <t>Мартьянов Д.С.</t>
  </si>
  <si>
    <t>Миллер Г.Б.</t>
  </si>
  <si>
    <t>Нагайцева С.В.</t>
  </si>
  <si>
    <t>Нарожная К.М.</t>
  </si>
  <si>
    <t>Неделина А.Ю.</t>
  </si>
  <si>
    <t>Новоселов С.В.</t>
  </si>
  <si>
    <t>Перегудов А.А.</t>
  </si>
  <si>
    <t>Перминов А.Н.</t>
  </si>
  <si>
    <t>Пермяков Р.С.</t>
  </si>
  <si>
    <t>Петухов А.М.</t>
  </si>
  <si>
    <t>Рыжков В.В.</t>
  </si>
  <si>
    <t>Савицкий А.В.</t>
  </si>
  <si>
    <t>Савченко П.А.</t>
  </si>
  <si>
    <t>Санникова И.А.</t>
  </si>
  <si>
    <t>Селиванов А.М.</t>
  </si>
  <si>
    <t>Сенющенков П.А.</t>
  </si>
  <si>
    <t>Серегин С.С.</t>
  </si>
  <si>
    <t>Снитко В.В.</t>
  </si>
  <si>
    <t>Стефанович А.И.</t>
  </si>
  <si>
    <t>Тарасов А.В.</t>
  </si>
  <si>
    <t>Храмов М.Л.</t>
  </si>
  <si>
    <t>Чавтараев Б.А.</t>
  </si>
  <si>
    <t>Чавтараев Р.Б.</t>
  </si>
  <si>
    <t>Шевцова И.С.</t>
  </si>
  <si>
    <t>Юхименко А.А.</t>
  </si>
  <si>
    <t>ИТОГО :</t>
  </si>
  <si>
    <t>ИТОГО  АУП</t>
  </si>
  <si>
    <t>ИТОГО  ТП</t>
  </si>
  <si>
    <t>НСиПЗ (0,2%)</t>
  </si>
  <si>
    <t>ПРОВЕРКА</t>
  </si>
  <si>
    <t>Данные Бух и ЗиК</t>
  </si>
  <si>
    <t>ФОТ АУП</t>
  </si>
  <si>
    <t>СВ  30%</t>
  </si>
  <si>
    <t xml:space="preserve">начисления с уч. Донач. Премий  </t>
  </si>
  <si>
    <t xml:space="preserve">           ФСС  </t>
  </si>
  <si>
    <t xml:space="preserve">           ФОМС</t>
  </si>
  <si>
    <t xml:space="preserve">               ПФР с.ч.</t>
  </si>
  <si>
    <t xml:space="preserve">               ПФР н.ч.</t>
  </si>
  <si>
    <t>НСиПЗ 0,2%</t>
  </si>
  <si>
    <t xml:space="preserve">     1,039,328.51</t>
  </si>
  <si>
    <t xml:space="preserve">     1,399,064.59</t>
  </si>
  <si>
    <t xml:space="preserve">     1,432,823.33</t>
  </si>
  <si>
    <t xml:space="preserve">       241,063.99</t>
  </si>
  <si>
    <t xml:space="preserve">       573,525.86</t>
  </si>
  <si>
    <t xml:space="preserve">       461,540.93</t>
  </si>
  <si>
    <t xml:space="preserve"> Распределение 0,2% по СП</t>
  </si>
  <si>
    <t>АУП</t>
  </si>
  <si>
    <t xml:space="preserve">       313,862.11</t>
  </si>
  <si>
    <t xml:space="preserve">       422,508.14</t>
  </si>
  <si>
    <t xml:space="preserve">       432,712.65</t>
  </si>
  <si>
    <t>ТП</t>
  </si>
  <si>
    <t xml:space="preserve">        72,801.34</t>
  </si>
  <si>
    <t xml:space="preserve">       173,197.00</t>
  </si>
  <si>
    <t xml:space="preserve">       139,370.25</t>
  </si>
  <si>
    <t>Внимание 3</t>
  </si>
  <si>
    <t>Моралист 2</t>
  </si>
  <si>
    <t>общая сумма начислений на июнь</t>
  </si>
  <si>
    <t>общая сумма начислений на июЛь</t>
  </si>
  <si>
    <t>разница на июнь 2012</t>
  </si>
  <si>
    <t>разница на июЛь 2012</t>
  </si>
  <si>
    <t>Захаров В.В.</t>
  </si>
  <si>
    <t>Лучкин А.Н.</t>
  </si>
  <si>
    <t>Подзоров С.В.</t>
  </si>
  <si>
    <t>Саков К.А.</t>
  </si>
  <si>
    <t>Лучкин Александр Николаевич</t>
  </si>
  <si>
    <t>Елизаров Александр Александрович</t>
  </si>
  <si>
    <t>Елизаров А.А.</t>
  </si>
  <si>
    <t>Захаров Виталий</t>
  </si>
  <si>
    <t>Подзоров Сергей</t>
  </si>
  <si>
    <t>Саков Кирилл Алексеевич</t>
  </si>
  <si>
    <t>неосфера-С</t>
  </si>
  <si>
    <t>общая сумма начислений на август</t>
  </si>
  <si>
    <t>разница на август 2012</t>
  </si>
  <si>
    <t>КАРТОЧКА УЧЕТА ЗАТРАТ</t>
  </si>
  <si>
    <t>Предприятие</t>
  </si>
  <si>
    <t>ООО «САЙТЭК»</t>
  </si>
  <si>
    <t>Шифр темы</t>
  </si>
  <si>
    <t>Государственный контракт №</t>
  </si>
  <si>
    <t>Заказчик</t>
  </si>
  <si>
    <t>Цена (контрактная твердо фиксированная)</t>
  </si>
  <si>
    <t>рублей</t>
  </si>
  <si>
    <t>Начало</t>
  </si>
  <si>
    <t xml:space="preserve">Этап </t>
  </si>
  <si>
    <t>Окончание</t>
  </si>
  <si>
    <t xml:space="preserve"> Учётный период</t>
  </si>
  <si>
    <t>Материалы</t>
  </si>
  <si>
    <t>Спец.оборудование</t>
  </si>
  <si>
    <t>ОЗП</t>
  </si>
  <si>
    <t>ДЗП</t>
  </si>
  <si>
    <t>Отчисления на соц. нужды</t>
  </si>
  <si>
    <t>Коман-     дировки</t>
  </si>
  <si>
    <t>Прочие расходы</t>
  </si>
  <si>
    <t>Накладные расходы</t>
  </si>
  <si>
    <t>Итого</t>
  </si>
  <si>
    <t>по факт. стоимости</t>
  </si>
  <si>
    <t>по договору</t>
  </si>
  <si>
    <t>2012 год</t>
  </si>
  <si>
    <t>Март</t>
  </si>
  <si>
    <t>Всего за этап:</t>
  </si>
  <si>
    <t xml:space="preserve"> Расчётная прибыль:</t>
  </si>
  <si>
    <t>Генеральный директор ООО «САЙТЭК»</t>
  </si>
  <si>
    <t>Д.В. Краюшкин</t>
  </si>
  <si>
    <t>Главный бухгалтер ООО «САЙТЭК»</t>
  </si>
  <si>
    <t>Л.С. Крикун</t>
  </si>
  <si>
    <t>Декабрь  (ожид.)</t>
  </si>
  <si>
    <t>Апрель</t>
  </si>
  <si>
    <t>Май</t>
  </si>
  <si>
    <t>Июнь</t>
  </si>
  <si>
    <t>Неосфера-С</t>
  </si>
  <si>
    <t>план ноябрь</t>
  </si>
  <si>
    <t>план декабрь</t>
  </si>
  <si>
    <t>Контрагенты</t>
  </si>
  <si>
    <t>Июль</t>
  </si>
  <si>
    <t>Август</t>
  </si>
  <si>
    <t>Генеральный директор</t>
  </si>
  <si>
    <t>М.П.</t>
  </si>
  <si>
    <t>Аренда офисных помещений</t>
  </si>
  <si>
    <t>Канцтовары, расходные материалы и хозяйственные товары</t>
  </si>
  <si>
    <t>Коммунальные услуги и ремонт офисных помещений</t>
  </si>
  <si>
    <t>Консультационные и информационные услуги</t>
  </si>
  <si>
    <t>Услуги связи</t>
  </si>
  <si>
    <t>Заработная плата АУП</t>
  </si>
  <si>
    <t>Отчисления на социальные нужды АУП</t>
  </si>
  <si>
    <t>янв</t>
  </si>
  <si>
    <t>февр</t>
  </si>
  <si>
    <t>Доля накладных ТП</t>
  </si>
  <si>
    <t>Размер накладных (к ЗП непоср. исп.) %</t>
  </si>
  <si>
    <t>Амортизация и ремонт ОС</t>
  </si>
  <si>
    <t>Отчисления на соц. нужды АУП</t>
  </si>
  <si>
    <t>ВСЕГО:</t>
  </si>
  <si>
    <t>общая сумма начислений на сент</t>
  </si>
  <si>
    <t>общая сумма начислений на окт</t>
  </si>
  <si>
    <t>общая сумма начислений на нояб</t>
  </si>
  <si>
    <t>общая сумма начислений на дек</t>
  </si>
  <si>
    <t>Приложение № 1</t>
  </si>
  <si>
    <t>№</t>
  </si>
  <si>
    <t>разница на сент</t>
  </si>
  <si>
    <t>разница на окт</t>
  </si>
  <si>
    <t>разница на нояб</t>
  </si>
  <si>
    <t>разница на дек</t>
  </si>
  <si>
    <t>Артемова О.В.</t>
  </si>
  <si>
    <t>Гарныш Е.О.</t>
  </si>
  <si>
    <t>Головина Т.В.</t>
  </si>
  <si>
    <t>Жилин И.А.</t>
  </si>
  <si>
    <t>Казанцев В.В.</t>
  </si>
  <si>
    <t>Кулагин В.А.</t>
  </si>
  <si>
    <t>Мухина А.А.</t>
  </si>
  <si>
    <t>Покрышкин А.Л.</t>
  </si>
  <si>
    <t>Рыбникова О.А.</t>
  </si>
  <si>
    <t>Чапарин А.Н.</t>
  </si>
  <si>
    <t>Казанцева С.С.</t>
  </si>
  <si>
    <t>Рыбникова О.А,</t>
  </si>
  <si>
    <t>Сентябрь</t>
  </si>
  <si>
    <t>год</t>
  </si>
  <si>
    <t>Сумма расходов по ЗП (ТОЛЬКО  ТП !!!)</t>
  </si>
  <si>
    <t>Октябрь</t>
  </si>
  <si>
    <t>Премии</t>
  </si>
  <si>
    <t>СВ с премий</t>
  </si>
  <si>
    <t>ИТОГО за декабрь</t>
  </si>
  <si>
    <t>ИТОГО СВ за декабрь</t>
  </si>
  <si>
    <t>СВ за декабрь с премиями</t>
  </si>
  <si>
    <t>общий%</t>
  </si>
  <si>
    <t>по АУП</t>
  </si>
  <si>
    <t>по ТП</t>
  </si>
  <si>
    <t>НСиПЗ</t>
  </si>
  <si>
    <t>средняя зарплата по ТП</t>
  </si>
  <si>
    <t>з/п ТП год</t>
  </si>
  <si>
    <t>трудоескость</t>
  </si>
  <si>
    <t>средняя з/п ТП за год</t>
  </si>
  <si>
    <t xml:space="preserve"> к протоколу согласования контрактной (фиксированной) цены</t>
  </si>
  <si>
    <t>на выполнение СЧ НИР "Настройка-С"</t>
  </si>
  <si>
    <t>СТРУКТУРА КОНТРАКТНОЙ (ФИКСИРОВАННОЙ) ЦЕНЫ</t>
  </si>
  <si>
    <t xml:space="preserve">на выполнение составной части научно-исследовательской работы </t>
  </si>
  <si>
    <t>по контракту от "____" ____________  2012г. № 1/1201-к</t>
  </si>
  <si>
    <t>(шифр СЧ НИР "Настройка-С")</t>
  </si>
  <si>
    <t>Наименование статей расходов</t>
  </si>
  <si>
    <t>Всего                          (руб.)</t>
  </si>
  <si>
    <t>в том числе по этапам</t>
  </si>
  <si>
    <t>2008 г.</t>
  </si>
  <si>
    <t xml:space="preserve">1 этап             </t>
  </si>
  <si>
    <t xml:space="preserve">2 этап              </t>
  </si>
  <si>
    <t xml:space="preserve">Материалы </t>
  </si>
  <si>
    <t>Спецоборудование для научных (экспериментальных работ)</t>
  </si>
  <si>
    <t>Затраты на оплату труда работников, непосредственно занятых созданием НТП (Приложение 1)</t>
  </si>
  <si>
    <t xml:space="preserve">Отчисления на социальное страхование (нужды) (26,80% к п.3 на первом этапе с учетом регресса, 30,2%  на втором этапе)
</t>
  </si>
  <si>
    <r>
      <t xml:space="preserve">Прочие прямые расходы </t>
    </r>
    <r>
      <rPr>
        <sz val="11"/>
        <rFont val="Times New Roman Cyr"/>
        <family val="1"/>
        <charset val="204"/>
      </rPr>
      <t xml:space="preserve"> </t>
    </r>
  </si>
  <si>
    <t>Накладные расходы, в том числе амортизационные отчисления на полное восстановление (110% от п.3, (Приложение 2)</t>
  </si>
  <si>
    <t>в том числе амортизационные отчисления</t>
  </si>
  <si>
    <t>Себестоимость собственных работ</t>
  </si>
  <si>
    <t>Затраты по работам, выполняемым сторонними организациями</t>
  </si>
  <si>
    <t>Полная себестоимость</t>
  </si>
  <si>
    <t>Прибыль (до 20 % от собственной себестоимости)</t>
  </si>
  <si>
    <t>ЦЕНА</t>
  </si>
  <si>
    <t>Приложение 1. Расшифровка (расчет) затрат на оплату труда работников, непосредственно занятых созданием СЧ НИР "Настройка-С"</t>
  </si>
  <si>
    <t>Приложение 2. Расшифровка (расчет) затрат на «Накладные расходы» при выполнении 
СЧ НИР "Настройка-С"</t>
  </si>
  <si>
    <t>Экз. № __</t>
  </si>
  <si>
    <t>Приложение 2</t>
  </si>
  <si>
    <t xml:space="preserve">к структуре контрактной (фиксированной) цены </t>
  </si>
  <si>
    <t>СЧ НИР "Настройка-С"</t>
  </si>
  <si>
    <t xml:space="preserve">РАСШИФРОВКА (РАСЧЕТ) </t>
  </si>
  <si>
    <t xml:space="preserve">затрат на «Накладные расходы» при выполнении СЧ НИР «Настройка-С» </t>
  </si>
  <si>
    <t>Сумма накладных расходов, отнесенных на СЧ НИР, руб.</t>
  </si>
  <si>
    <t>Амортизация, аренда и ремонт ОС и НМА</t>
  </si>
  <si>
    <t>ИТОГО РАСХОДОВ :</t>
  </si>
  <si>
    <t>Справочно: Основная заработная плата СЧ НИР</t>
  </si>
  <si>
    <t>Накладные расходы (в % от ФОТ)</t>
  </si>
  <si>
    <t>Генеральный директор  ООО «САЙТЭК»</t>
  </si>
  <si>
    <t>м.п.</t>
  </si>
  <si>
    <t>Главный бухгалтер  ООО «САЙТЭК»</t>
  </si>
  <si>
    <t>Приложение 1</t>
  </si>
  <si>
    <t xml:space="preserve"> СЧ НИР «Настройка-С» </t>
  </si>
  <si>
    <t>РАСЧЕТ</t>
  </si>
  <si>
    <t xml:space="preserve">затрат на оплату труда работников, непосредственно занятых </t>
  </si>
  <si>
    <t>созданием НТП при выполнении  СЧ НИР «Настройка-С»</t>
  </si>
  <si>
    <t>Дата начала и окончания работ</t>
  </si>
  <si>
    <t>Категория персонала</t>
  </si>
  <si>
    <t>Итого затрат на оплату труда,              руб. (гр.5+9+13)</t>
  </si>
  <si>
    <t>Научные работники</t>
  </si>
  <si>
    <t>Научно-технический и научно-вспомогательный персонал</t>
  </si>
  <si>
    <t>Производственные рабочие и ученики</t>
  </si>
  <si>
    <t>Числ. испол-нителей</t>
  </si>
  <si>
    <t>Количество  человеко-месяцев, подлежащих отработке</t>
  </si>
  <si>
    <t>Средняя зарплата в месяц,  руб.</t>
  </si>
  <si>
    <t>Сумма затрат на оплату труда,            руб.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</si>
  <si>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</si>
  <si>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</si>
  <si>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</si>
  <si>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</si>
  <si>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</si>
  <si>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</si>
  <si>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</si>
  <si>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</si>
  <si>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</si>
  <si>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</si>
  <si>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</si>
  <si>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</si>
  <si>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</si>
  <si>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</si>
  <si>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2012г. 1 этап</t>
  </si>
  <si>
    <t>01.03.12 г.-31.12.12 г.</t>
  </si>
  <si>
    <t xml:space="preserve"> - </t>
  </si>
  <si>
    <t>2013г. 1 этап</t>
  </si>
  <si>
    <t>01.01.13 г.-15.01.13 г.</t>
  </si>
  <si>
    <t>Всего 1 этап:</t>
  </si>
  <si>
    <t>2013г. 2 этап</t>
  </si>
  <si>
    <t>01.02.13 г.-20.05.13 г.</t>
  </si>
  <si>
    <t>Всего 2 этап:</t>
  </si>
  <si>
    <t>Итого:</t>
  </si>
  <si>
    <t>От Заказчика: привлекаемые категории работников и их трудоемкость соответствует требованиям ТЗ</t>
  </si>
  <si>
    <t>Экз. № _</t>
  </si>
  <si>
    <t>УТВЕРЖДАЮ</t>
  </si>
  <si>
    <t>СОГЛАСОВАНО</t>
  </si>
  <si>
    <t>Исполнительный директор</t>
  </si>
  <si>
    <t>ФГАНУ ЦИТиС</t>
  </si>
  <si>
    <t xml:space="preserve">                                         Д.В. Краюшкин</t>
  </si>
  <si>
    <t>А.М. Бастрыкин</t>
  </si>
  <si>
    <t>«___» ____________ 2012 г.</t>
  </si>
  <si>
    <t xml:space="preserve"> «___» ____________ 2012 г.</t>
  </si>
  <si>
    <t>ЭКОНОМИЧЕСКИЕ ПОКАЗАТЕЛИ</t>
  </si>
  <si>
    <t xml:space="preserve"> для согласования контрактной (фиксированной) цены</t>
  </si>
  <si>
    <t>СЧ НИР «Настройка-С»</t>
  </si>
  <si>
    <t>Показатели</t>
  </si>
  <si>
    <t>Представленные</t>
  </si>
  <si>
    <t>Согласованные</t>
  </si>
  <si>
    <t>I.  Среднемесячная заработная плата работника,</t>
  </si>
  <si>
    <t xml:space="preserve">    непосредственно занятого созданием НТП (руб.) </t>
  </si>
  <si>
    <t xml:space="preserve">    - штатного сотрудника и совместителя:</t>
  </si>
  <si>
    <t xml:space="preserve">1 этап с 01.03.12г. по 15.01.13г. </t>
  </si>
  <si>
    <t xml:space="preserve">2 этап с 01.02.13г. По 20.05.13г. </t>
  </si>
  <si>
    <t>II. Накладные расходы (% от затрат на оплату</t>
  </si>
  <si>
    <t>до 110%</t>
  </si>
  <si>
    <t xml:space="preserve">    труда работников, непосредственно занятых</t>
  </si>
  <si>
    <t xml:space="preserve">    созданием  НТП)</t>
  </si>
  <si>
    <t xml:space="preserve">III. Уровень рентабельности:    </t>
  </si>
  <si>
    <t>до 20%</t>
  </si>
  <si>
    <t xml:space="preserve">      % от собственной себестоимости (без учёта</t>
  </si>
  <si>
    <t xml:space="preserve">      стоимости услуг сторонних организаций и</t>
  </si>
  <si>
    <t xml:space="preserve">      затрат на материалы и спецоборудование)</t>
  </si>
  <si>
    <t xml:space="preserve"> </t>
  </si>
  <si>
    <t xml:space="preserve">Главный бухгалтер </t>
  </si>
  <si>
    <t xml:space="preserve">01.03.2012 г.             </t>
  </si>
  <si>
    <t xml:space="preserve">15.01.2013 г.             </t>
  </si>
  <si>
    <t>Ноябрь</t>
  </si>
  <si>
    <t>2013 год</t>
  </si>
  <si>
    <t>Январь (ожид.)</t>
  </si>
  <si>
    <t>Всего за 2012 год:</t>
  </si>
  <si>
    <t>№ __________ от _________</t>
  </si>
  <si>
    <t>план январь</t>
  </si>
  <si>
    <t>Реалист 2</t>
  </si>
  <si>
    <t>реалист 2</t>
  </si>
  <si>
    <t>настройка-С 2</t>
  </si>
  <si>
    <t>буйвол 2</t>
  </si>
  <si>
    <t>наставник</t>
  </si>
  <si>
    <t>награда</t>
  </si>
  <si>
    <t>надежда</t>
  </si>
  <si>
    <t>мол</t>
  </si>
  <si>
    <t>Экз. № ___</t>
  </si>
  <si>
    <t>Заказ №</t>
  </si>
  <si>
    <t xml:space="preserve">10.01.2012 г.             </t>
  </si>
  <si>
    <t xml:space="preserve">30.09.2012 г.             </t>
  </si>
  <si>
    <t xml:space="preserve"> (руб.)</t>
  </si>
  <si>
    <t>Страховые взносы</t>
  </si>
  <si>
    <t>Контр-агенты</t>
  </si>
  <si>
    <t>Кредит</t>
  </si>
  <si>
    <t>Списание выполненных                                   и сданных работ</t>
  </si>
  <si>
    <t>по факт. затратам</t>
  </si>
  <si>
    <t>по  дого-вору</t>
  </si>
  <si>
    <t xml:space="preserve">Май </t>
  </si>
  <si>
    <t xml:space="preserve">Июнь </t>
  </si>
  <si>
    <t xml:space="preserve"> Приложение:</t>
  </si>
  <si>
    <t>ИТОГО</t>
  </si>
  <si>
    <t>ВСЕГО</t>
  </si>
  <si>
    <t>Суммарный % отчислений</t>
  </si>
  <si>
    <t>Должность</t>
  </si>
  <si>
    <t>Подразделение</t>
  </si>
  <si>
    <t>ФОТ по теме</t>
  </si>
  <si>
    <t>ФОТ по теме  (ФАКТ)</t>
  </si>
  <si>
    <t>ФОТ по теме  (ПЛАН)</t>
  </si>
  <si>
    <t xml:space="preserve">ФОТ по теме    </t>
  </si>
  <si>
    <t>РАСШИФРОВКА   ЗАТРАТ   ПО   СТАТЬЕ   «НАКЛАДНЫЕ РАСХОДЫ»</t>
  </si>
  <si>
    <t xml:space="preserve"> (руб., коп.)</t>
  </si>
  <si>
    <t>№№</t>
  </si>
  <si>
    <t>Вид затрат</t>
  </si>
  <si>
    <t>Ожид. затраты</t>
  </si>
  <si>
    <t>Всего за этап</t>
  </si>
  <si>
    <t xml:space="preserve">Общая сумма </t>
  </si>
  <si>
    <t>Сумма затрат,</t>
  </si>
  <si>
    <t>Доля затрат</t>
  </si>
  <si>
    <t>п.п.</t>
  </si>
  <si>
    <t>затрат по организации</t>
  </si>
  <si>
    <t>отнесённая на тему</t>
  </si>
  <si>
    <t>на тему (%)</t>
  </si>
  <si>
    <t>1.</t>
  </si>
  <si>
    <t>Амортизация и ремонт ОС и НМА</t>
  </si>
  <si>
    <t>2.</t>
  </si>
  <si>
    <t>3.</t>
  </si>
  <si>
    <t>4.</t>
  </si>
  <si>
    <t>5.</t>
  </si>
  <si>
    <t>6.</t>
  </si>
  <si>
    <t>7.</t>
  </si>
  <si>
    <t>8.</t>
  </si>
  <si>
    <t>Всего за учётный период</t>
  </si>
  <si>
    <t>Справочно:</t>
  </si>
  <si>
    <t xml:space="preserve"> ФОТ</t>
  </si>
  <si>
    <t>мар</t>
  </si>
  <si>
    <t>апр</t>
  </si>
  <si>
    <t>Экз. № ____</t>
  </si>
  <si>
    <t>к Карточке учета затрат</t>
  </si>
  <si>
    <t>КАРТОЧКА НАЧИСЛЕНИЙ ЗАРАБОТНОЙ ПЛАТЫ И СТРАХОВЫХ ВЗНОСОВ</t>
  </si>
  <si>
    <t xml:space="preserve">     Декабрь  (план)</t>
  </si>
  <si>
    <t>Страховые взносы + НСиПЗ 0,2%</t>
  </si>
  <si>
    <t>Страховые взносы + НСиПЗ 0,2%  (ФАКТ)</t>
  </si>
  <si>
    <t>Страховые взносы + НСиПЗ 0,2%  (ПЛАН)</t>
  </si>
  <si>
    <t>Группа аналитики и консалтинга</t>
  </si>
  <si>
    <t>Отдел разработки и технологий</t>
  </si>
  <si>
    <t>Отдел управления проектами и внедрения</t>
  </si>
  <si>
    <t>Группа тестирования и оценки качества</t>
  </si>
  <si>
    <t>Отдел проектирования и документирования</t>
  </si>
  <si>
    <t>Аналитик</t>
  </si>
  <si>
    <t>Программист</t>
  </si>
  <si>
    <t>Руководитель проектов</t>
  </si>
  <si>
    <t>Специалист по тестированию</t>
  </si>
  <si>
    <t>Инженер-программист</t>
  </si>
  <si>
    <t>Руководитель отдела</t>
  </si>
  <si>
    <t>Главный специалист</t>
  </si>
  <si>
    <t>Системный аналитик</t>
  </si>
  <si>
    <t>Ведущий специалист</t>
  </si>
  <si>
    <t>Ноябрь (ожид.)</t>
  </si>
  <si>
    <t>Октябрь (ожид.)</t>
  </si>
  <si>
    <t>Январь (план)</t>
  </si>
  <si>
    <t>Приложение № 1.1</t>
  </si>
  <si>
    <t>ФОТ по теме (ПЛАН)</t>
  </si>
  <si>
    <t>Страховые взносы + НСиПЗ 0,2% (ПЛАН)</t>
  </si>
  <si>
    <t>1.1. Карточка начислений заработной платы и страховых взносов в 2012 году</t>
  </si>
  <si>
    <t>1.2. Карточка начислений заработной платы и страховых взносов в 2013 году</t>
  </si>
  <si>
    <t>2. Расшифровка затрат по статье «Накладные расходы»</t>
  </si>
  <si>
    <t>1/1201-к от 28.02.2012 г.</t>
  </si>
  <si>
    <t>Цена (контрактная фиксированная)</t>
  </si>
  <si>
    <t>Декабрь (ожид.)</t>
  </si>
  <si>
    <t>Всего за 2012 год</t>
  </si>
  <si>
    <t>Приложение № 1.2</t>
  </si>
  <si>
    <t>по 1 этапу СЧ НИР «Настройка-С»</t>
  </si>
  <si>
    <t>Всего на 30.09.2012</t>
  </si>
  <si>
    <t xml:space="preserve"> 01.10.2012 - 15.01.2013</t>
  </si>
  <si>
    <t>ФОТ НТП с марта по сентябрь</t>
  </si>
  <si>
    <t>Приложение № 2</t>
  </si>
  <si>
    <t xml:space="preserve">                                                                                                      по 1 этапу СЧ НИР «Настройка-С»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</si>
</sst>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#,##0.00_ ;[Red]\-#,##0.00\ "/>
    <numFmt numFmtId="165" formatCode="0.000"/>
    <numFmt numFmtId="166" formatCode="0.00_ ;[Red]\-0.00\ "/>
    <numFmt numFmtId="167" formatCode="#,##0.0000"/>
    <numFmt numFmtId="168" formatCode="0.0000"/>
    <numFmt numFmtId="169" formatCode="#,##0.000"/>
    <numFmt numFmtId="170" formatCode="_-* #,##0.000_р_._-;\-* #,##0.000_р_._-;_-* &quot;-&quot;???_р_._-;_-@_-"/>
    <numFmt numFmtId="171" formatCode="#,##0.00;[Red]\-#,##0.00"/>
    <numFmt numFmtId="172" formatCode="&quot;See Note &quot;\ #"/>
    <numFmt numFmtId="173" formatCode="\$\ #,##0"/>
    <numFmt numFmtId="174" formatCode="#,##0.0"/>
    <numFmt numFmtId="175" formatCode="#,##0.0_ ;\-#,##0.0\ "/>
    <numFmt numFmtId="176" formatCode="#,##0.00000_ ;[Red]\-#,##0.00000\ "/>
  </numFmts>
  <fonts count="8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sz val="9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sz val="12"/>
      <name val="Arial"/>
      <family val="2"/>
      <charset val="204"/>
    </font>
    <font>
      <b/>
      <sz val="9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Arial Cyr"/>
      <charset val="204"/>
    </font>
    <font>
      <sz val="14"/>
      <name val="Arial Cyr"/>
      <charset val="204"/>
    </font>
    <font>
      <b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9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14"/>
      <name val="Arial"/>
      <family val="2"/>
      <charset val="204"/>
    </font>
    <font>
      <b/>
      <sz val="10"/>
      <name val="Cambria"/>
      <family val="1"/>
      <charset val="204"/>
    </font>
    <font>
      <b/>
      <sz val="8"/>
      <name val="Cambria"/>
      <family val="1"/>
      <charset val="204"/>
    </font>
    <font>
      <sz val="8"/>
      <name val="Times New Roman"/>
      <family val="1"/>
      <charset val="204"/>
    </font>
    <font>
      <sz val="10"/>
      <color indexed="10"/>
      <name val="Arial Cyr"/>
      <charset val="204"/>
    </font>
    <font>
      <sz val="10"/>
      <color indexed="10"/>
      <name val="Times New Roman"/>
      <family val="1"/>
      <charset val="204"/>
    </font>
    <font>
      <sz val="8"/>
      <color indexed="10"/>
      <name val="Arial Cyr"/>
      <charset val="204"/>
    </font>
    <font>
      <b/>
      <sz val="8"/>
      <name val="Arial"/>
      <family val="2"/>
      <charset val="204"/>
    </font>
    <font>
      <b/>
      <sz val="8"/>
      <name val="Times New Roman"/>
      <family val="1"/>
      <charset val="204"/>
    </font>
    <font>
      <i/>
      <sz val="9"/>
      <name val="Arial Cyr"/>
      <charset val="204"/>
    </font>
    <font>
      <i/>
      <sz val="8"/>
      <color indexed="10"/>
      <name val="Arial Cyr"/>
      <charset val="204"/>
    </font>
    <font>
      <b/>
      <sz val="10"/>
      <color indexed="81"/>
      <name val="Tahoma"/>
      <family val="2"/>
      <charset val="204"/>
    </font>
    <font>
      <sz val="10"/>
      <color indexed="81"/>
      <name val="Tahoma"/>
      <family val="2"/>
      <charset val="204"/>
    </font>
    <font>
      <sz val="10"/>
      <color rgb="FFFF0000"/>
      <name val="Arial Cyr"/>
      <charset val="204"/>
    </font>
    <font>
      <sz val="10"/>
      <name val="Times New Roman Cyr"/>
      <charset val="204"/>
    </font>
    <font>
      <b/>
      <sz val="10"/>
      <name val="Times New Roman Cyr"/>
      <charset val="204"/>
    </font>
    <font>
      <b/>
      <sz val="11"/>
      <name val="Times New Roman Cyr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Helv"/>
    </font>
    <font>
      <b/>
      <sz val="9"/>
      <color indexed="8"/>
      <name val="Arial Cyr"/>
      <charset val="204"/>
    </font>
    <font>
      <sz val="9"/>
      <color indexed="8"/>
      <name val="Times New Roman"/>
      <family val="1"/>
      <charset val="204"/>
    </font>
    <font>
      <sz val="10"/>
      <name val="Helv"/>
      <charset val="204"/>
    </font>
    <font>
      <sz val="8"/>
      <name val="Helv"/>
    </font>
    <font>
      <b/>
      <sz val="9"/>
      <color rgb="FFFF0000"/>
      <name val="Arial"/>
      <family val="2"/>
      <charset val="204"/>
    </font>
    <font>
      <b/>
      <sz val="8"/>
      <name val="Arial Cyr"/>
      <charset val="204"/>
    </font>
    <font>
      <sz val="8"/>
      <color indexed="8"/>
      <name val="Times New Roman"/>
      <family val="1"/>
      <charset val="204"/>
    </font>
    <font>
      <sz val="11"/>
      <name val="Times New Roman Cyr"/>
      <family val="1"/>
      <charset val="204"/>
    </font>
    <font>
      <sz val="12"/>
      <name val="Times New Roman"/>
      <family val="1"/>
    </font>
    <font>
      <b/>
      <sz val="11"/>
      <name val="Times New Roman Cyr"/>
      <family val="1"/>
      <charset val="204"/>
    </font>
    <font>
      <sz val="10"/>
      <color indexed="9"/>
      <name val="Arial Cyr"/>
      <charset val="204"/>
    </font>
    <font>
      <sz val="10"/>
      <name val="Times New Roman"/>
      <family val="1"/>
    </font>
    <font>
      <sz val="11"/>
      <color indexed="9"/>
      <name val="Times New Roman Cyr"/>
      <family val="1"/>
      <charset val="204"/>
    </font>
    <font>
      <b/>
      <sz val="8"/>
      <name val="Times New Roman Cyr"/>
      <charset val="204"/>
    </font>
    <font>
      <sz val="14"/>
      <name val="Times New Roman"/>
      <charset val="204"/>
    </font>
    <font>
      <b/>
      <sz val="12"/>
      <color indexed="8"/>
      <name val="Times New Roman"/>
      <family val="1"/>
      <charset val="204"/>
    </font>
    <font>
      <sz val="11"/>
      <name val="Arial Cyr"/>
      <charset val="204"/>
    </font>
    <font>
      <sz val="13"/>
      <name val="Times New Roman"/>
      <family val="1"/>
    </font>
    <font>
      <b/>
      <sz val="10"/>
      <name val="Times New Roman"/>
      <family val="1"/>
    </font>
    <font>
      <b/>
      <sz val="10"/>
      <color indexed="60"/>
      <name val="Times New Roman"/>
      <family val="1"/>
      <charset val="204"/>
    </font>
    <font>
      <sz val="10"/>
      <color indexed="60"/>
      <name val="Arial Cyr"/>
      <charset val="204"/>
    </font>
    <font>
      <b/>
      <sz val="10"/>
      <color indexed="60"/>
      <name val="Arial Cyr"/>
      <charset val="204"/>
    </font>
    <font>
      <sz val="13"/>
      <name val="Times New Roman"/>
      <family val="1"/>
      <charset val="204"/>
    </font>
    <font>
      <b/>
      <sz val="9"/>
      <name val="Times New Roman Cyr"/>
      <charset val="204"/>
    </font>
    <font>
      <sz val="10"/>
      <color rgb="FFFF0000"/>
      <name val="Times New Roman Cyr"/>
      <charset val="204"/>
    </font>
    <font>
      <sz val="11"/>
      <color indexed="8"/>
      <name val="Times New Roman"/>
      <family val="1"/>
      <charset val="204"/>
    </font>
    <font>
      <sz val="10"/>
      <color rgb="FF0070C0"/>
      <name val="Arial Cyr"/>
      <charset val="204"/>
    </font>
  </fonts>
  <fills count="39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08FC0E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CC3399"/>
        <bgColor indexed="64"/>
      </patternFill>
    </fill>
  </fills>
  <borders count="8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 style="thin">
        <color indexed="64"/>
      </top>
      <bottom/>
      <diagonal/>
    </border>
    <border>
      <left style="thick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9">
    <xf numFmtId="0" fontId="0" fillId="0" borderId="0"/>
    <xf numFmtId="0" fontId="2" fillId="0" borderId="0"/>
    <xf numFmtId="0" fontId="23" fillId="0" borderId="0"/>
    <xf numFmtId="0" fontId="13" fillId="0" borderId="0">
      <alignment horizontal="left"/>
    </xf>
    <xf numFmtId="43" fontId="22" fillId="0" borderId="0" applyFont="0" applyFill="0" applyBorder="0" applyAlignment="0" applyProtection="0"/>
    <xf numFmtId="0" fontId="31" fillId="0" borderId="0"/>
    <xf numFmtId="0" fontId="27" fillId="0" borderId="0"/>
    <xf numFmtId="0" fontId="52" fillId="0" borderId="0"/>
    <xf numFmtId="0" fontId="55" fillId="0" borderId="0"/>
    <xf numFmtId="0" fontId="31" fillId="0" borderId="0"/>
    <xf numFmtId="172" fontId="56" fillId="0" borderId="0">
      <alignment horizontal="left"/>
    </xf>
    <xf numFmtId="173" fontId="36" fillId="0" borderId="0"/>
    <xf numFmtId="172" fontId="56" fillId="0" borderId="0">
      <alignment horizontal="left"/>
    </xf>
    <xf numFmtId="0" fontId="2" fillId="0" borderId="0"/>
    <xf numFmtId="13" fontId="26" fillId="0" borderId="55">
      <alignment vertical="top"/>
    </xf>
    <xf numFmtId="0" fontId="1" fillId="0" borderId="0"/>
    <xf numFmtId="44" fontId="2" fillId="0" borderId="0" applyFont="0" applyFill="0" applyBorder="0" applyAlignment="0" applyProtection="0"/>
    <xf numFmtId="0" fontId="67" fillId="0" borderId="0"/>
    <xf numFmtId="0" fontId="2" fillId="0" borderId="0"/>
  </cellStyleXfs>
  <cellXfs count="1212">
    <xf numFmtId="0" fontId="0" fillId="0" borderId="0" xfId="0"/>
    <xf numFmtId="4" fontId="9" fillId="2" borderId="1" xfId="0" applyNumberFormat="1" applyFont="1" applyFill="1" applyBorder="1" applyAlignment="1">
      <alignment horizontal="right" vertical="center"/>
    </xf>
    <xf numFmtId="2" fontId="9" fillId="2" borderId="1" xfId="0" applyNumberFormat="1" applyFont="1" applyFill="1" applyBorder="1"/>
    <xf numFmtId="2" fontId="0" fillId="0" borderId="0" xfId="0" applyNumberFormat="1"/>
    <xf numFmtId="4" fontId="6" fillId="0" borderId="0" xfId="0" applyNumberFormat="1" applyFont="1" applyFill="1" applyAlignment="1"/>
    <xf numFmtId="0" fontId="0" fillId="0" borderId="0" xfId="0" applyFill="1"/>
    <xf numFmtId="0" fontId="0" fillId="0" borderId="0" xfId="0" applyFill="1" applyAlignment="1"/>
    <xf numFmtId="0" fontId="8" fillId="0" borderId="0" xfId="0" applyFont="1" applyFill="1" applyAlignment="1"/>
    <xf numFmtId="0" fontId="6" fillId="0" borderId="0" xfId="0" applyFont="1" applyFill="1" applyAlignment="1"/>
    <xf numFmtId="0" fontId="7" fillId="0" borderId="0" xfId="0" applyFont="1" applyFill="1" applyAlignment="1"/>
    <xf numFmtId="0" fontId="6" fillId="0" borderId="0" xfId="0" applyFont="1" applyFill="1" applyAlignment="1">
      <alignment horizontal="right"/>
    </xf>
    <xf numFmtId="166" fontId="6" fillId="0" borderId="0" xfId="0" applyNumberFormat="1" applyFont="1" applyFill="1" applyAlignment="1"/>
    <xf numFmtId="4" fontId="7" fillId="0" borderId="1" xfId="0" applyNumberFormat="1" applyFont="1" applyFill="1" applyBorder="1" applyAlignment="1">
      <alignment horizontal="right"/>
    </xf>
    <xf numFmtId="4" fontId="5" fillId="0" borderId="2" xfId="0" applyNumberFormat="1" applyFont="1" applyFill="1" applyBorder="1" applyAlignment="1">
      <alignment horizontal="right"/>
    </xf>
    <xf numFmtId="4" fontId="5" fillId="0" borderId="3" xfId="0" applyNumberFormat="1" applyFont="1" applyFill="1" applyBorder="1" applyAlignment="1">
      <alignment horizontal="right"/>
    </xf>
    <xf numFmtId="4" fontId="7" fillId="0" borderId="4" xfId="0" applyNumberFormat="1" applyFont="1" applyFill="1" applyBorder="1" applyAlignment="1">
      <alignment horizontal="right"/>
    </xf>
    <xf numFmtId="4" fontId="7" fillId="0" borderId="5" xfId="0" applyNumberFormat="1" applyFont="1" applyFill="1" applyBorder="1" applyAlignment="1">
      <alignment horizontal="right"/>
    </xf>
    <xf numFmtId="0" fontId="5" fillId="0" borderId="0" xfId="0" applyFont="1" applyFill="1" applyAlignment="1"/>
    <xf numFmtId="0" fontId="14" fillId="0" borderId="0" xfId="0" applyFont="1" applyFill="1" applyAlignment="1"/>
    <xf numFmtId="0" fontId="4" fillId="0" borderId="4" xfId="0" applyFont="1" applyFill="1" applyBorder="1" applyAlignment="1">
      <alignment horizontal="centerContinuous" vertical="center"/>
    </xf>
    <xf numFmtId="0" fontId="5" fillId="0" borderId="6" xfId="0" applyFont="1" applyFill="1" applyBorder="1" applyAlignment="1">
      <alignment horizontal="centerContinuous" vertical="center"/>
    </xf>
    <xf numFmtId="4" fontId="6" fillId="0" borderId="7" xfId="0" applyNumberFormat="1" applyFont="1" applyFill="1" applyBorder="1" applyAlignment="1">
      <alignment horizontal="centerContinuous" vertical="center"/>
    </xf>
    <xf numFmtId="166" fontId="6" fillId="0" borderId="7" xfId="0" applyNumberFormat="1" applyFont="1" applyFill="1" applyBorder="1" applyAlignment="1">
      <alignment horizontal="centerContinuous" vertical="center"/>
    </xf>
    <xf numFmtId="4" fontId="7" fillId="0" borderId="7" xfId="0" applyNumberFormat="1" applyFont="1" applyFill="1" applyBorder="1" applyAlignment="1">
      <alignment horizontal="centerContinuous" vertical="center"/>
    </xf>
    <xf numFmtId="1" fontId="7" fillId="0" borderId="1" xfId="0" applyNumberFormat="1" applyFont="1" applyFill="1" applyBorder="1" applyAlignment="1">
      <alignment horizontal="right" vertical="top"/>
    </xf>
    <xf numFmtId="0" fontId="6" fillId="0" borderId="4" xfId="0" applyFont="1" applyFill="1" applyBorder="1" applyAlignment="1">
      <alignment vertical="top" wrapText="1"/>
    </xf>
    <xf numFmtId="4" fontId="8" fillId="0" borderId="8" xfId="0" applyNumberFormat="1" applyFont="1" applyFill="1" applyBorder="1" applyAlignment="1">
      <alignment horizontal="right"/>
    </xf>
    <xf numFmtId="4" fontId="8" fillId="0" borderId="6" xfId="0" applyNumberFormat="1" applyFont="1" applyFill="1" applyBorder="1" applyAlignment="1">
      <alignment horizontal="right"/>
    </xf>
    <xf numFmtId="0" fontId="5" fillId="0" borderId="4" xfId="0" applyFont="1" applyFill="1" applyBorder="1" applyAlignment="1"/>
    <xf numFmtId="4" fontId="5" fillId="0" borderId="9" xfId="0" applyNumberFormat="1" applyFont="1" applyFill="1" applyBorder="1" applyAlignment="1">
      <alignment horizontal="right"/>
    </xf>
    <xf numFmtId="4" fontId="5" fillId="0" borderId="10" xfId="0" applyNumberFormat="1" applyFont="1" applyFill="1" applyBorder="1" applyAlignment="1">
      <alignment horizontal="right"/>
    </xf>
    <xf numFmtId="4" fontId="7" fillId="0" borderId="6" xfId="0" applyNumberFormat="1" applyFont="1" applyFill="1" applyBorder="1" applyAlignment="1">
      <alignment horizontal="right"/>
    </xf>
    <xf numFmtId="4" fontId="5" fillId="0" borderId="11" xfId="0" applyNumberFormat="1" applyFont="1" applyFill="1" applyBorder="1" applyAlignment="1">
      <alignment horizontal="right"/>
    </xf>
    <xf numFmtId="4" fontId="7" fillId="0" borderId="12" xfId="0" applyNumberFormat="1" applyFont="1" applyFill="1" applyBorder="1" applyAlignment="1">
      <alignment horizontal="right"/>
    </xf>
    <xf numFmtId="4" fontId="7" fillId="0" borderId="13" xfId="0" applyNumberFormat="1" applyFont="1" applyFill="1" applyBorder="1" applyAlignment="1">
      <alignment horizontal="right"/>
    </xf>
    <xf numFmtId="4" fontId="7" fillId="0" borderId="14" xfId="0" applyNumberFormat="1" applyFont="1" applyFill="1" applyBorder="1" applyAlignment="1">
      <alignment horizontal="right"/>
    </xf>
    <xf numFmtId="4" fontId="7" fillId="0" borderId="15" xfId="0" applyNumberFormat="1" applyFont="1" applyFill="1" applyBorder="1" applyAlignment="1">
      <alignment horizontal="right"/>
    </xf>
    <xf numFmtId="4" fontId="6" fillId="0" borderId="0" xfId="0" applyNumberFormat="1" applyFont="1" applyFill="1" applyBorder="1" applyAlignment="1">
      <alignment vertical="top" wrapText="1"/>
    </xf>
    <xf numFmtId="4" fontId="12" fillId="0" borderId="0" xfId="0" applyNumberFormat="1" applyFont="1" applyFill="1" applyAlignment="1"/>
    <xf numFmtId="164" fontId="0" fillId="0" borderId="0" xfId="0" applyNumberFormat="1" applyFill="1" applyAlignment="1"/>
    <xf numFmtId="164" fontId="7" fillId="0" borderId="0" xfId="0" applyNumberFormat="1" applyFont="1" applyFill="1" applyAlignment="1"/>
    <xf numFmtId="4" fontId="8" fillId="0" borderId="16" xfId="0" applyNumberFormat="1" applyFont="1" applyFill="1" applyBorder="1" applyAlignment="1">
      <alignment horizontal="right"/>
    </xf>
    <xf numFmtId="4" fontId="6" fillId="0" borderId="5" xfId="0" applyNumberFormat="1" applyFont="1" applyFill="1" applyBorder="1" applyAlignment="1">
      <alignment horizontal="right"/>
    </xf>
    <xf numFmtId="4" fontId="6" fillId="0" borderId="13" xfId="0" applyNumberFormat="1" applyFont="1" applyFill="1" applyBorder="1" applyAlignment="1">
      <alignment horizontal="right"/>
    </xf>
    <xf numFmtId="4" fontId="7" fillId="0" borderId="17" xfId="0" applyNumberFormat="1" applyFont="1" applyFill="1" applyBorder="1" applyAlignment="1">
      <alignment horizontal="right"/>
    </xf>
    <xf numFmtId="0" fontId="0" fillId="0" borderId="0" xfId="0" applyBorder="1"/>
    <xf numFmtId="0" fontId="8" fillId="0" borderId="0" xfId="0" applyFont="1"/>
    <xf numFmtId="49" fontId="17" fillId="0" borderId="0" xfId="3" applyNumberFormat="1" applyFont="1" applyFill="1" applyBorder="1" applyAlignment="1">
      <alignment vertical="center" wrapText="1"/>
    </xf>
    <xf numFmtId="49" fontId="17" fillId="0" borderId="0" xfId="0" applyNumberFormat="1" applyFont="1" applyFill="1" applyBorder="1" applyAlignment="1">
      <alignment vertical="center" wrapText="1"/>
    </xf>
    <xf numFmtId="165" fontId="18" fillId="0" borderId="0" xfId="3" applyNumberFormat="1" applyFont="1" applyFill="1" applyBorder="1" applyAlignment="1">
      <alignment vertical="center" wrapText="1"/>
    </xf>
    <xf numFmtId="2" fontId="10" fillId="0" borderId="17" xfId="0" applyNumberFormat="1" applyFont="1" applyFill="1" applyBorder="1"/>
    <xf numFmtId="2" fontId="10" fillId="0" borderId="18" xfId="0" applyNumberFormat="1" applyFont="1" applyFill="1" applyBorder="1"/>
    <xf numFmtId="0" fontId="9" fillId="0" borderId="19" xfId="0" applyFont="1" applyBorder="1"/>
    <xf numFmtId="0" fontId="8" fillId="0" borderId="19" xfId="0" applyFont="1" applyBorder="1"/>
    <xf numFmtId="4" fontId="9" fillId="0" borderId="19" xfId="0" applyNumberFormat="1" applyFont="1" applyFill="1" applyBorder="1" applyAlignment="1">
      <alignment horizontal="right" vertical="center"/>
    </xf>
    <xf numFmtId="4" fontId="9" fillId="0" borderId="1" xfId="0" applyNumberFormat="1" applyFont="1" applyFill="1" applyBorder="1" applyAlignment="1">
      <alignment horizontal="right" vertical="center"/>
    </xf>
    <xf numFmtId="4" fontId="19" fillId="0" borderId="20" xfId="0" applyNumberFormat="1" applyFont="1" applyFill="1" applyBorder="1" applyAlignment="1">
      <alignment horizontal="right" vertical="center"/>
    </xf>
    <xf numFmtId="4" fontId="19" fillId="0" borderId="2" xfId="0" applyNumberFormat="1" applyFont="1" applyFill="1" applyBorder="1" applyAlignment="1">
      <alignment horizontal="right" vertical="center"/>
    </xf>
    <xf numFmtId="0" fontId="20" fillId="0" borderId="0" xfId="0" applyFont="1"/>
    <xf numFmtId="164" fontId="7" fillId="0" borderId="21" xfId="0" applyNumberFormat="1" applyFont="1" applyFill="1" applyBorder="1" applyAlignment="1">
      <alignment horizontal="right"/>
    </xf>
    <xf numFmtId="4" fontId="5" fillId="0" borderId="22" xfId="0" applyNumberFormat="1" applyFont="1" applyFill="1" applyBorder="1" applyAlignment="1">
      <alignment horizontal="right"/>
    </xf>
    <xf numFmtId="166" fontId="7" fillId="0" borderId="21" xfId="0" applyNumberFormat="1" applyFont="1" applyFill="1" applyBorder="1" applyAlignment="1">
      <alignment horizontal="right"/>
    </xf>
    <xf numFmtId="4" fontId="7" fillId="0" borderId="21" xfId="0" applyNumberFormat="1" applyFont="1" applyFill="1" applyBorder="1" applyAlignment="1">
      <alignment horizontal="right"/>
    </xf>
    <xf numFmtId="4" fontId="7" fillId="0" borderId="16" xfId="0" applyNumberFormat="1" applyFont="1" applyFill="1" applyBorder="1" applyAlignment="1">
      <alignment horizontal="right"/>
    </xf>
    <xf numFmtId="4" fontId="7" fillId="0" borderId="18" xfId="0" applyNumberFormat="1" applyFont="1" applyFill="1" applyBorder="1" applyAlignment="1">
      <alignment horizontal="right"/>
    </xf>
    <xf numFmtId="4" fontId="7" fillId="0" borderId="23" xfId="0" applyNumberFormat="1" applyFont="1" applyFill="1" applyBorder="1" applyAlignment="1">
      <alignment horizontal="right"/>
    </xf>
    <xf numFmtId="4" fontId="7" fillId="0" borderId="8" xfId="0" applyNumberFormat="1" applyFont="1" applyFill="1" applyBorder="1" applyAlignment="1">
      <alignment horizontal="right"/>
    </xf>
    <xf numFmtId="2" fontId="6" fillId="0" borderId="18" xfId="0" applyNumberFormat="1" applyFont="1" applyFill="1" applyBorder="1" applyAlignment="1">
      <alignment horizontal="right"/>
    </xf>
    <xf numFmtId="2" fontId="6" fillId="0" borderId="5" xfId="0" applyNumberFormat="1" applyFont="1" applyFill="1" applyBorder="1" applyAlignment="1">
      <alignment horizontal="right"/>
    </xf>
    <xf numFmtId="4" fontId="8" fillId="0" borderId="1" xfId="0" applyNumberFormat="1" applyFont="1" applyFill="1" applyBorder="1" applyAlignment="1">
      <alignment horizontal="right"/>
    </xf>
    <xf numFmtId="0" fontId="6" fillId="4" borderId="4" xfId="0" applyFont="1" applyFill="1" applyBorder="1" applyAlignment="1">
      <alignment vertical="top" wrapText="1"/>
    </xf>
    <xf numFmtId="4" fontId="8" fillId="5" borderId="8" xfId="0" applyNumberFormat="1" applyFont="1" applyFill="1" applyBorder="1" applyAlignment="1">
      <alignment horizontal="right"/>
    </xf>
    <xf numFmtId="4" fontId="6" fillId="5" borderId="5" xfId="0" applyNumberFormat="1" applyFont="1" applyFill="1" applyBorder="1" applyAlignment="1">
      <alignment horizontal="right"/>
    </xf>
    <xf numFmtId="4" fontId="7" fillId="6" borderId="1" xfId="0" applyNumberFormat="1" applyFont="1" applyFill="1" applyBorder="1" applyAlignment="1">
      <alignment horizontal="right"/>
    </xf>
    <xf numFmtId="4" fontId="7" fillId="6" borderId="4" xfId="0" applyNumberFormat="1" applyFont="1" applyFill="1" applyBorder="1" applyAlignment="1">
      <alignment horizontal="right"/>
    </xf>
    <xf numFmtId="0" fontId="0" fillId="0" borderId="0" xfId="0" applyAlignment="1">
      <alignment horizontal="right"/>
    </xf>
    <xf numFmtId="4" fontId="19" fillId="10" borderId="20" xfId="0" applyNumberFormat="1" applyFont="1" applyFill="1" applyBorder="1" applyAlignment="1">
      <alignment horizontal="right" vertical="center"/>
    </xf>
    <xf numFmtId="14" fontId="0" fillId="0" borderId="0" xfId="0" applyNumberFormat="1"/>
    <xf numFmtId="4" fontId="9" fillId="0" borderId="6" xfId="0" applyNumberFormat="1" applyFont="1" applyFill="1" applyBorder="1" applyAlignment="1">
      <alignment horizontal="right" vertical="center"/>
    </xf>
    <xf numFmtId="4" fontId="19" fillId="0" borderId="10" xfId="0" applyNumberFormat="1" applyFont="1" applyFill="1" applyBorder="1" applyAlignment="1">
      <alignment horizontal="right" vertical="center"/>
    </xf>
    <xf numFmtId="4" fontId="9" fillId="2" borderId="5" xfId="0" applyNumberFormat="1" applyFont="1" applyFill="1" applyBorder="1" applyAlignment="1">
      <alignment horizontal="right" vertical="center"/>
    </xf>
    <xf numFmtId="4" fontId="9" fillId="0" borderId="5" xfId="0" applyNumberFormat="1" applyFont="1" applyFill="1" applyBorder="1" applyAlignment="1">
      <alignment horizontal="right" vertical="center"/>
    </xf>
    <xf numFmtId="4" fontId="19" fillId="10" borderId="2" xfId="0" applyNumberFormat="1" applyFont="1" applyFill="1" applyBorder="1" applyAlignment="1">
      <alignment horizontal="right" vertical="center"/>
    </xf>
    <xf numFmtId="4" fontId="9" fillId="11" borderId="5" xfId="0" applyNumberFormat="1" applyFont="1" applyFill="1" applyBorder="1" applyAlignment="1">
      <alignment horizontal="right" vertical="center"/>
    </xf>
    <xf numFmtId="4" fontId="9" fillId="2" borderId="6" xfId="0" applyNumberFormat="1" applyFont="1" applyFill="1" applyBorder="1" applyAlignment="1">
      <alignment horizontal="right" vertical="center"/>
    </xf>
    <xf numFmtId="4" fontId="19" fillId="10" borderId="10" xfId="0" applyNumberFormat="1" applyFont="1" applyFill="1" applyBorder="1" applyAlignment="1">
      <alignment horizontal="right" vertical="center"/>
    </xf>
    <xf numFmtId="4" fontId="9" fillId="0" borderId="43" xfId="0" applyNumberFormat="1" applyFont="1" applyFill="1" applyBorder="1" applyAlignment="1">
      <alignment horizontal="right" vertical="center"/>
    </xf>
    <xf numFmtId="4" fontId="9" fillId="0" borderId="27" xfId="0" applyNumberFormat="1" applyFont="1" applyFill="1" applyBorder="1" applyAlignment="1">
      <alignment horizontal="right" vertical="center"/>
    </xf>
    <xf numFmtId="4" fontId="9" fillId="0" borderId="8" xfId="0" applyNumberFormat="1" applyFont="1" applyFill="1" applyBorder="1" applyAlignment="1">
      <alignment horizontal="right" vertical="center"/>
    </xf>
    <xf numFmtId="4" fontId="19" fillId="0" borderId="9" xfId="0" applyNumberFormat="1" applyFont="1" applyFill="1" applyBorder="1" applyAlignment="1">
      <alignment horizontal="right" vertical="center"/>
    </xf>
    <xf numFmtId="0" fontId="9" fillId="0" borderId="48" xfId="0" applyFont="1" applyBorder="1" applyAlignment="1">
      <alignment horizontal="center"/>
    </xf>
    <xf numFmtId="0" fontId="19" fillId="0" borderId="49" xfId="0" applyFont="1" applyBorder="1"/>
    <xf numFmtId="4" fontId="9" fillId="2" borderId="8" xfId="0" applyNumberFormat="1" applyFont="1" applyFill="1" applyBorder="1" applyAlignment="1">
      <alignment horizontal="right" vertical="center"/>
    </xf>
    <xf numFmtId="4" fontId="9" fillId="11" borderId="8" xfId="0" applyNumberFormat="1" applyFont="1" applyFill="1" applyBorder="1" applyAlignment="1">
      <alignment horizontal="right" vertical="center"/>
    </xf>
    <xf numFmtId="4" fontId="11" fillId="0" borderId="50" xfId="0" applyNumberFormat="1" applyFont="1" applyFill="1" applyBorder="1"/>
    <xf numFmtId="4" fontId="11" fillId="0" borderId="6" xfId="0" applyNumberFormat="1" applyFont="1" applyFill="1" applyBorder="1"/>
    <xf numFmtId="0" fontId="10" fillId="0" borderId="41" xfId="0" applyFont="1" applyBorder="1"/>
    <xf numFmtId="4" fontId="19" fillId="11" borderId="9" xfId="0" applyNumberFormat="1" applyFont="1" applyFill="1" applyBorder="1" applyAlignment="1">
      <alignment horizontal="right" vertical="center"/>
    </xf>
    <xf numFmtId="4" fontId="19" fillId="11" borderId="2" xfId="0" applyNumberFormat="1" applyFont="1" applyFill="1" applyBorder="1" applyAlignment="1">
      <alignment horizontal="right" vertical="center"/>
    </xf>
    <xf numFmtId="164" fontId="0" fillId="0" borderId="0" xfId="0" applyNumberFormat="1"/>
    <xf numFmtId="0" fontId="9" fillId="0" borderId="16" xfId="0" applyFont="1" applyFill="1" applyBorder="1" applyAlignment="1">
      <alignment horizontal="center"/>
    </xf>
    <xf numFmtId="0" fontId="9" fillId="0" borderId="17" xfId="0" applyFont="1" applyFill="1" applyBorder="1" applyAlignment="1">
      <alignment horizontal="center"/>
    </xf>
    <xf numFmtId="0" fontId="9" fillId="0" borderId="18" xfId="0" applyFont="1" applyFill="1" applyBorder="1" applyAlignment="1">
      <alignment horizontal="center"/>
    </xf>
    <xf numFmtId="0" fontId="9" fillId="0" borderId="50" xfId="0" applyFont="1" applyFill="1" applyBorder="1" applyAlignment="1">
      <alignment horizontal="center"/>
    </xf>
    <xf numFmtId="0" fontId="9" fillId="9" borderId="17" xfId="0" applyFont="1" applyFill="1" applyBorder="1" applyAlignment="1">
      <alignment horizontal="center"/>
    </xf>
    <xf numFmtId="0" fontId="9" fillId="9" borderId="18" xfId="0" applyFont="1" applyFill="1" applyBorder="1" applyAlignment="1">
      <alignment horizontal="center"/>
    </xf>
    <xf numFmtId="0" fontId="9" fillId="9" borderId="51" xfId="0" applyFont="1" applyFill="1" applyBorder="1" applyAlignment="1">
      <alignment horizontal="center"/>
    </xf>
    <xf numFmtId="0" fontId="9" fillId="9" borderId="50" xfId="0" applyFont="1" applyFill="1" applyBorder="1" applyAlignment="1">
      <alignment horizontal="center"/>
    </xf>
    <xf numFmtId="0" fontId="10" fillId="0" borderId="0" xfId="0" applyFont="1"/>
    <xf numFmtId="0" fontId="9" fillId="9" borderId="39" xfId="0" applyFont="1" applyFill="1" applyBorder="1" applyAlignment="1">
      <alignment horizontal="center"/>
    </xf>
    <xf numFmtId="0" fontId="9" fillId="9" borderId="16" xfId="0" applyFont="1" applyFill="1" applyBorder="1" applyAlignment="1">
      <alignment horizontal="center"/>
    </xf>
    <xf numFmtId="14" fontId="0" fillId="11" borderId="0" xfId="0" applyNumberFormat="1" applyFill="1"/>
    <xf numFmtId="164" fontId="0" fillId="11" borderId="0" xfId="0" applyNumberFormat="1" applyFill="1"/>
    <xf numFmtId="0" fontId="8" fillId="2" borderId="0" xfId="0" applyFont="1" applyFill="1" applyAlignment="1">
      <alignment horizontal="right"/>
    </xf>
    <xf numFmtId="0" fontId="8" fillId="11" borderId="0" xfId="0" applyFont="1" applyFill="1" applyBorder="1" applyAlignment="1">
      <alignment horizontal="right"/>
    </xf>
    <xf numFmtId="0" fontId="8" fillId="11" borderId="0" xfId="0" applyFont="1" applyFill="1" applyAlignment="1">
      <alignment horizontal="right"/>
    </xf>
    <xf numFmtId="0" fontId="8" fillId="0" borderId="0" xfId="0" applyFont="1" applyAlignment="1">
      <alignment horizontal="right"/>
    </xf>
    <xf numFmtId="0" fontId="0" fillId="0" borderId="0" xfId="0" applyFill="1" applyAlignment="1">
      <alignment horizontal="right"/>
    </xf>
    <xf numFmtId="0" fontId="14" fillId="11" borderId="0" xfId="0" applyFont="1" applyFill="1"/>
    <xf numFmtId="0" fontId="14" fillId="0" borderId="0" xfId="0" applyFont="1"/>
    <xf numFmtId="4" fontId="6" fillId="0" borderId="8" xfId="0" applyNumberFormat="1" applyFont="1" applyFill="1" applyBorder="1" applyAlignment="1">
      <alignment horizontal="right"/>
    </xf>
    <xf numFmtId="4" fontId="7" fillId="0" borderId="32" xfId="0" applyNumberFormat="1" applyFont="1" applyFill="1" applyBorder="1" applyAlignment="1">
      <alignment horizontal="right"/>
    </xf>
    <xf numFmtId="4" fontId="7" fillId="0" borderId="40" xfId="0" applyNumberFormat="1" applyFont="1" applyFill="1" applyBorder="1" applyAlignment="1">
      <alignment horizontal="right"/>
    </xf>
    <xf numFmtId="4" fontId="7" fillId="0" borderId="42" xfId="0" applyNumberFormat="1" applyFont="1" applyFill="1" applyBorder="1" applyAlignment="1">
      <alignment horizontal="right"/>
    </xf>
    <xf numFmtId="4" fontId="7" fillId="0" borderId="50" xfId="0" applyNumberFormat="1" applyFont="1" applyFill="1" applyBorder="1" applyAlignment="1">
      <alignment horizontal="right"/>
    </xf>
    <xf numFmtId="4" fontId="7" fillId="14" borderId="1" xfId="0" applyNumberFormat="1" applyFont="1" applyFill="1" applyBorder="1" applyAlignment="1">
      <alignment horizontal="right"/>
    </xf>
    <xf numFmtId="4" fontId="7" fillId="14" borderId="4" xfId="0" applyNumberFormat="1" applyFont="1" applyFill="1" applyBorder="1" applyAlignment="1">
      <alignment horizontal="right"/>
    </xf>
    <xf numFmtId="4" fontId="5" fillId="0" borderId="20" xfId="0" applyNumberFormat="1" applyFont="1" applyFill="1" applyBorder="1" applyAlignment="1">
      <alignment horizontal="right"/>
    </xf>
    <xf numFmtId="4" fontId="7" fillId="0" borderId="53" xfId="0" applyNumberFormat="1" applyFont="1" applyFill="1" applyBorder="1" applyAlignment="1">
      <alignment horizontal="right"/>
    </xf>
    <xf numFmtId="4" fontId="8" fillId="0" borderId="6" xfId="0" applyNumberFormat="1" applyFont="1" applyFill="1" applyBorder="1" applyAlignment="1">
      <alignment horizontal="right" vertical="center"/>
    </xf>
    <xf numFmtId="2" fontId="9" fillId="0" borderId="1" xfId="0" applyNumberFormat="1" applyFont="1" applyFill="1" applyBorder="1"/>
    <xf numFmtId="4" fontId="8" fillId="13" borderId="6" xfId="0" applyNumberFormat="1" applyFont="1" applyFill="1" applyBorder="1" applyAlignment="1">
      <alignment horizontal="right" vertical="center"/>
    </xf>
    <xf numFmtId="2" fontId="6" fillId="13" borderId="18" xfId="0" applyNumberFormat="1" applyFont="1" applyFill="1" applyBorder="1" applyAlignment="1">
      <alignment horizontal="right"/>
    </xf>
    <xf numFmtId="2" fontId="6" fillId="13" borderId="5" xfId="0" applyNumberFormat="1" applyFont="1" applyFill="1" applyBorder="1" applyAlignment="1">
      <alignment horizontal="right"/>
    </xf>
    <xf numFmtId="4" fontId="8" fillId="13" borderId="1" xfId="0" applyNumberFormat="1" applyFont="1" applyFill="1" applyBorder="1" applyAlignment="1">
      <alignment horizontal="right"/>
    </xf>
    <xf numFmtId="4" fontId="8" fillId="13" borderId="8" xfId="0" applyNumberFormat="1" applyFont="1" applyFill="1" applyBorder="1" applyAlignment="1">
      <alignment horizontal="right"/>
    </xf>
    <xf numFmtId="4" fontId="6" fillId="13" borderId="5" xfId="0" applyNumberFormat="1" applyFont="1" applyFill="1" applyBorder="1" applyAlignment="1">
      <alignment horizontal="right"/>
    </xf>
    <xf numFmtId="0" fontId="6" fillId="15" borderId="4" xfId="0" applyFont="1" applyFill="1" applyBorder="1" applyAlignment="1">
      <alignment vertical="top" wrapText="1"/>
    </xf>
    <xf numFmtId="0" fontId="6" fillId="16" borderId="4" xfId="0" applyFont="1" applyFill="1" applyBorder="1" applyAlignment="1">
      <alignment vertical="top" wrapText="1"/>
    </xf>
    <xf numFmtId="0" fontId="2" fillId="0" borderId="0" xfId="1"/>
    <xf numFmtId="0" fontId="2" fillId="0" borderId="0" xfId="1" applyAlignment="1">
      <alignment horizontal="center"/>
    </xf>
    <xf numFmtId="4" fontId="3" fillId="0" borderId="0" xfId="1" applyNumberFormat="1" applyFont="1" applyFill="1" applyBorder="1"/>
    <xf numFmtId="4" fontId="7" fillId="12" borderId="1" xfId="0" applyNumberFormat="1" applyFont="1" applyFill="1" applyBorder="1" applyAlignment="1">
      <alignment horizontal="right"/>
    </xf>
    <xf numFmtId="4" fontId="6" fillId="12" borderId="0" xfId="0" applyNumberFormat="1" applyFont="1" applyFill="1" applyAlignment="1"/>
    <xf numFmtId="4" fontId="7" fillId="12" borderId="8" xfId="0" applyNumberFormat="1" applyFont="1" applyFill="1" applyBorder="1" applyAlignment="1">
      <alignment horizontal="right"/>
    </xf>
    <xf numFmtId="4" fontId="7" fillId="0" borderId="48" xfId="0" applyNumberFormat="1" applyFont="1" applyFill="1" applyBorder="1" applyAlignment="1">
      <alignment horizontal="right"/>
    </xf>
    <xf numFmtId="4" fontId="7" fillId="0" borderId="41" xfId="0" applyNumberFormat="1" applyFont="1" applyFill="1" applyBorder="1" applyAlignment="1">
      <alignment horizontal="right"/>
    </xf>
    <xf numFmtId="4" fontId="7" fillId="12" borderId="41" xfId="0" applyNumberFormat="1" applyFont="1" applyFill="1" applyBorder="1" applyAlignment="1">
      <alignment horizontal="right"/>
    </xf>
    <xf numFmtId="0" fontId="2" fillId="0" borderId="0" xfId="1" applyFill="1"/>
    <xf numFmtId="0" fontId="2" fillId="0" borderId="0" xfId="1" applyAlignment="1">
      <alignment horizontal="center" vertical="center"/>
    </xf>
    <xf numFmtId="0" fontId="3" fillId="0" borderId="0" xfId="1" applyFont="1"/>
    <xf numFmtId="49" fontId="2" fillId="0" borderId="0" xfId="1" applyNumberFormat="1" applyAlignment="1">
      <alignment horizontal="center" vertical="center"/>
    </xf>
    <xf numFmtId="49" fontId="33" fillId="0" borderId="0" xfId="1" applyNumberFormat="1" applyFont="1" applyAlignment="1">
      <alignment horizontal="center" vertical="center"/>
    </xf>
    <xf numFmtId="2" fontId="14" fillId="6" borderId="0" xfId="1" applyNumberFormat="1" applyFont="1" applyFill="1" applyAlignment="1">
      <alignment horizontal="center"/>
    </xf>
    <xf numFmtId="17" fontId="2" fillId="17" borderId="4" xfId="1" applyNumberFormat="1" applyFill="1" applyBorder="1"/>
    <xf numFmtId="17" fontId="2" fillId="17" borderId="27" xfId="1" applyNumberFormat="1" applyFill="1" applyBorder="1"/>
    <xf numFmtId="0" fontId="2" fillId="17" borderId="27" xfId="1" applyFill="1" applyBorder="1"/>
    <xf numFmtId="0" fontId="2" fillId="17" borderId="61" xfId="1" applyFill="1" applyBorder="1"/>
    <xf numFmtId="0" fontId="2" fillId="2" borderId="27" xfId="1" applyFill="1" applyBorder="1"/>
    <xf numFmtId="17" fontId="2" fillId="2" borderId="27" xfId="1" applyNumberFormat="1" applyFill="1" applyBorder="1"/>
    <xf numFmtId="0" fontId="2" fillId="2" borderId="61" xfId="1" applyFill="1" applyBorder="1"/>
    <xf numFmtId="0" fontId="2" fillId="8" borderId="27" xfId="1" applyFill="1" applyBorder="1"/>
    <xf numFmtId="17" fontId="2" fillId="8" borderId="27" xfId="1" applyNumberFormat="1" applyFill="1" applyBorder="1"/>
    <xf numFmtId="0" fontId="2" fillId="8" borderId="61" xfId="1" applyFill="1" applyBorder="1"/>
    <xf numFmtId="0" fontId="2" fillId="18" borderId="27" xfId="1" applyFill="1" applyBorder="1"/>
    <xf numFmtId="17" fontId="2" fillId="18" borderId="27" xfId="1" applyNumberFormat="1" applyFill="1" applyBorder="1"/>
    <xf numFmtId="0" fontId="2" fillId="18" borderId="61" xfId="1" applyFill="1" applyBorder="1"/>
    <xf numFmtId="0" fontId="2" fillId="19" borderId="27" xfId="1" applyFill="1" applyBorder="1"/>
    <xf numFmtId="17" fontId="3" fillId="19" borderId="27" xfId="1" applyNumberFormat="1" applyFont="1" applyFill="1" applyBorder="1"/>
    <xf numFmtId="17" fontId="2" fillId="19" borderId="27" xfId="1" applyNumberFormat="1" applyFill="1" applyBorder="1"/>
    <xf numFmtId="0" fontId="2" fillId="19" borderId="61" xfId="1" applyFill="1" applyBorder="1"/>
    <xf numFmtId="0" fontId="2" fillId="7" borderId="27" xfId="1" applyFill="1" applyBorder="1"/>
    <xf numFmtId="17" fontId="3" fillId="7" borderId="27" xfId="1" applyNumberFormat="1" applyFont="1" applyFill="1" applyBorder="1"/>
    <xf numFmtId="17" fontId="2" fillId="7" borderId="27" xfId="1" applyNumberFormat="1" applyFill="1" applyBorder="1"/>
    <xf numFmtId="0" fontId="2" fillId="7" borderId="61" xfId="1" applyFill="1" applyBorder="1"/>
    <xf numFmtId="0" fontId="2" fillId="0" borderId="0" xfId="1" applyFill="1" applyBorder="1"/>
    <xf numFmtId="0" fontId="34" fillId="0" borderId="1" xfId="1" applyFont="1" applyBorder="1" applyAlignment="1">
      <alignment horizontal="center" vertical="center" wrapText="1"/>
    </xf>
    <xf numFmtId="0" fontId="34" fillId="0" borderId="1" xfId="1" applyFont="1" applyBorder="1" applyAlignment="1">
      <alignment horizontal="center" vertical="center"/>
    </xf>
    <xf numFmtId="0" fontId="34" fillId="17" borderId="1" xfId="1" applyFont="1" applyFill="1" applyBorder="1" applyAlignment="1">
      <alignment horizontal="center" vertical="center" wrapText="1"/>
    </xf>
    <xf numFmtId="0" fontId="35" fillId="17" borderId="1" xfId="1" applyFont="1" applyFill="1" applyBorder="1" applyAlignment="1">
      <alignment horizontal="center" vertical="center" wrapText="1"/>
    </xf>
    <xf numFmtId="0" fontId="34" fillId="17" borderId="62" xfId="1" applyFont="1" applyFill="1" applyBorder="1" applyAlignment="1">
      <alignment horizontal="center" vertical="center" wrapText="1"/>
    </xf>
    <xf numFmtId="0" fontId="34" fillId="2" borderId="6" xfId="1" applyFont="1" applyFill="1" applyBorder="1" applyAlignment="1">
      <alignment horizontal="center" vertical="center" wrapText="1"/>
    </xf>
    <xf numFmtId="0" fontId="35" fillId="2" borderId="1" xfId="1" applyFont="1" applyFill="1" applyBorder="1" applyAlignment="1">
      <alignment horizontal="center" vertical="center" wrapText="1"/>
    </xf>
    <xf numFmtId="0" fontId="34" fillId="2" borderId="1" xfId="1" applyFont="1" applyFill="1" applyBorder="1" applyAlignment="1">
      <alignment horizontal="center" vertical="center" wrapText="1"/>
    </xf>
    <xf numFmtId="0" fontId="34" fillId="2" borderId="62" xfId="1" applyFont="1" applyFill="1" applyBorder="1" applyAlignment="1">
      <alignment horizontal="center" vertical="center" wrapText="1"/>
    </xf>
    <xf numFmtId="0" fontId="34" fillId="8" borderId="6" xfId="1" applyFont="1" applyFill="1" applyBorder="1" applyAlignment="1">
      <alignment horizontal="center" vertical="center" wrapText="1"/>
    </xf>
    <xf numFmtId="0" fontId="35" fillId="8" borderId="1" xfId="1" applyFont="1" applyFill="1" applyBorder="1" applyAlignment="1">
      <alignment horizontal="center" vertical="center" wrapText="1"/>
    </xf>
    <xf numFmtId="0" fontId="34" fillId="8" borderId="1" xfId="1" applyFont="1" applyFill="1" applyBorder="1" applyAlignment="1">
      <alignment horizontal="center" vertical="center" wrapText="1"/>
    </xf>
    <xf numFmtId="0" fontId="34" fillId="8" borderId="62" xfId="1" applyFont="1" applyFill="1" applyBorder="1" applyAlignment="1">
      <alignment horizontal="center" vertical="center" wrapText="1"/>
    </xf>
    <xf numFmtId="0" fontId="34" fillId="18" borderId="6" xfId="1" applyFont="1" applyFill="1" applyBorder="1" applyAlignment="1">
      <alignment horizontal="center" vertical="center" wrapText="1"/>
    </xf>
    <xf numFmtId="0" fontId="35" fillId="18" borderId="1" xfId="1" applyFont="1" applyFill="1" applyBorder="1" applyAlignment="1">
      <alignment horizontal="center" vertical="center" wrapText="1"/>
    </xf>
    <xf numFmtId="0" fontId="34" fillId="18" borderId="1" xfId="1" applyFont="1" applyFill="1" applyBorder="1" applyAlignment="1">
      <alignment horizontal="center" vertical="center" wrapText="1"/>
    </xf>
    <xf numFmtId="0" fontId="34" fillId="18" borderId="62" xfId="1" applyFont="1" applyFill="1" applyBorder="1" applyAlignment="1">
      <alignment horizontal="center" vertical="center" wrapText="1"/>
    </xf>
    <xf numFmtId="0" fontId="34" fillId="19" borderId="6" xfId="1" applyFont="1" applyFill="1" applyBorder="1" applyAlignment="1">
      <alignment horizontal="center" vertical="center" wrapText="1"/>
    </xf>
    <xf numFmtId="0" fontId="35" fillId="19" borderId="1" xfId="1" applyFont="1" applyFill="1" applyBorder="1" applyAlignment="1">
      <alignment horizontal="center" vertical="center" wrapText="1"/>
    </xf>
    <xf numFmtId="0" fontId="34" fillId="19" borderId="1" xfId="1" applyFont="1" applyFill="1" applyBorder="1" applyAlignment="1">
      <alignment horizontal="center" vertical="center" wrapText="1"/>
    </xf>
    <xf numFmtId="0" fontId="34" fillId="19" borderId="62" xfId="1" applyFont="1" applyFill="1" applyBorder="1" applyAlignment="1">
      <alignment horizontal="center" vertical="center" wrapText="1"/>
    </xf>
    <xf numFmtId="0" fontId="34" fillId="7" borderId="6" xfId="1" applyFont="1" applyFill="1" applyBorder="1" applyAlignment="1">
      <alignment horizontal="center" vertical="center" wrapText="1"/>
    </xf>
    <xf numFmtId="0" fontId="35" fillId="7" borderId="1" xfId="1" applyFont="1" applyFill="1" applyBorder="1" applyAlignment="1">
      <alignment horizontal="center" vertical="center" wrapText="1"/>
    </xf>
    <xf numFmtId="0" fontId="34" fillId="7" borderId="1" xfId="1" applyFont="1" applyFill="1" applyBorder="1" applyAlignment="1">
      <alignment horizontal="center" vertical="center" wrapText="1"/>
    </xf>
    <xf numFmtId="0" fontId="34" fillId="7" borderId="62" xfId="1" applyFont="1" applyFill="1" applyBorder="1" applyAlignment="1">
      <alignment horizontal="center" vertical="center" wrapText="1"/>
    </xf>
    <xf numFmtId="0" fontId="32" fillId="0" borderId="1" xfId="1" applyFont="1" applyBorder="1" applyAlignment="1">
      <alignment horizontal="center" vertical="center"/>
    </xf>
    <xf numFmtId="0" fontId="36" fillId="0" borderId="1" xfId="1" applyFont="1" applyBorder="1" applyAlignment="1">
      <alignment horizontal="center" vertical="center"/>
    </xf>
    <xf numFmtId="0" fontId="26" fillId="0" borderId="1" xfId="1" applyFont="1" applyBorder="1" applyAlignment="1">
      <alignment horizontal="left" vertical="center" wrapText="1"/>
    </xf>
    <xf numFmtId="4" fontId="26" fillId="0" borderId="1" xfId="1" applyNumberFormat="1" applyFont="1" applyBorder="1" applyAlignment="1">
      <alignment horizontal="center" vertical="center"/>
    </xf>
    <xf numFmtId="4" fontId="36" fillId="0" borderId="1" xfId="1" applyNumberFormat="1" applyFont="1" applyBorder="1" applyAlignment="1">
      <alignment horizontal="center" vertical="center"/>
    </xf>
    <xf numFmtId="168" fontId="3" fillId="0" borderId="1" xfId="1" applyNumberFormat="1" applyFont="1" applyBorder="1" applyAlignment="1">
      <alignment horizontal="center" vertical="center"/>
    </xf>
    <xf numFmtId="4" fontId="3" fillId="0" borderId="62" xfId="1" applyNumberFormat="1" applyFont="1" applyBorder="1" applyAlignment="1">
      <alignment horizontal="center" vertical="center"/>
    </xf>
    <xf numFmtId="4" fontId="26" fillId="0" borderId="6" xfId="1" applyNumberFormat="1" applyFont="1" applyBorder="1" applyAlignment="1">
      <alignment horizontal="center" vertical="center"/>
    </xf>
    <xf numFmtId="0" fontId="2" fillId="0" borderId="1" xfId="1" applyBorder="1" applyAlignment="1">
      <alignment horizontal="center" vertical="center"/>
    </xf>
    <xf numFmtId="168" fontId="3" fillId="0" borderId="1" xfId="1" applyNumberFormat="1" applyFont="1" applyFill="1" applyBorder="1" applyAlignment="1">
      <alignment horizontal="center" vertical="center"/>
    </xf>
    <xf numFmtId="2" fontId="3" fillId="0" borderId="62" xfId="1" applyNumberFormat="1" applyFont="1" applyFill="1" applyBorder="1" applyAlignment="1">
      <alignment horizontal="center" vertical="center"/>
    </xf>
    <xf numFmtId="4" fontId="3" fillId="0" borderId="1" xfId="1" applyNumberFormat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4" fontId="2" fillId="0" borderId="0" xfId="1" applyNumberFormat="1" applyBorder="1" applyAlignment="1">
      <alignment horizontal="center" vertical="center"/>
    </xf>
    <xf numFmtId="0" fontId="2" fillId="0" borderId="0" xfId="1" applyBorder="1" applyAlignment="1">
      <alignment horizontal="center" vertical="center"/>
    </xf>
    <xf numFmtId="0" fontId="26" fillId="6" borderId="1" xfId="1" applyFont="1" applyFill="1" applyBorder="1" applyAlignment="1">
      <alignment horizontal="left" vertical="center" wrapText="1"/>
    </xf>
    <xf numFmtId="4" fontId="26" fillId="3" borderId="1" xfId="1" applyNumberFormat="1" applyFont="1" applyFill="1" applyBorder="1" applyAlignment="1">
      <alignment horizontal="center" vertical="center"/>
    </xf>
    <xf numFmtId="4" fontId="36" fillId="3" borderId="1" xfId="1" applyNumberFormat="1" applyFont="1" applyFill="1" applyBorder="1" applyAlignment="1">
      <alignment horizontal="center" vertical="center"/>
    </xf>
    <xf numFmtId="168" fontId="3" fillId="3" borderId="1" xfId="1" applyNumberFormat="1" applyFont="1" applyFill="1" applyBorder="1" applyAlignment="1">
      <alignment horizontal="center" vertical="center"/>
    </xf>
    <xf numFmtId="4" fontId="3" fillId="3" borderId="62" xfId="1" applyNumberFormat="1" applyFont="1" applyFill="1" applyBorder="1" applyAlignment="1">
      <alignment horizontal="center" vertical="center"/>
    </xf>
    <xf numFmtId="4" fontId="26" fillId="6" borderId="6" xfId="1" applyNumberFormat="1" applyFont="1" applyFill="1" applyBorder="1" applyAlignment="1">
      <alignment horizontal="center" vertical="center"/>
    </xf>
    <xf numFmtId="0" fontId="2" fillId="6" borderId="1" xfId="1" applyFill="1" applyBorder="1" applyAlignment="1">
      <alignment horizontal="center" vertical="center"/>
    </xf>
    <xf numFmtId="168" fontId="3" fillId="6" borderId="1" xfId="1" applyNumberFormat="1" applyFont="1" applyFill="1" applyBorder="1" applyAlignment="1">
      <alignment horizontal="center" vertical="center"/>
    </xf>
    <xf numFmtId="2" fontId="3" fillId="6" borderId="62" xfId="1" applyNumberFormat="1" applyFont="1" applyFill="1" applyBorder="1" applyAlignment="1">
      <alignment horizontal="center" vertical="center"/>
    </xf>
    <xf numFmtId="4" fontId="3" fillId="6" borderId="1" xfId="1" applyNumberFormat="1" applyFont="1" applyFill="1" applyBorder="1" applyAlignment="1">
      <alignment horizontal="center" vertical="center"/>
    </xf>
    <xf numFmtId="0" fontId="3" fillId="6" borderId="1" xfId="1" applyFont="1" applyFill="1" applyBorder="1" applyAlignment="1">
      <alignment horizontal="center" vertical="center"/>
    </xf>
    <xf numFmtId="0" fontId="26" fillId="9" borderId="1" xfId="1" applyFont="1" applyFill="1" applyBorder="1" applyAlignment="1">
      <alignment horizontal="left" vertical="center" wrapText="1"/>
    </xf>
    <xf numFmtId="4" fontId="26" fillId="9" borderId="1" xfId="1" applyNumberFormat="1" applyFont="1" applyFill="1" applyBorder="1" applyAlignment="1">
      <alignment horizontal="center" vertical="center"/>
    </xf>
    <xf numFmtId="4" fontId="36" fillId="9" borderId="1" xfId="1" applyNumberFormat="1" applyFont="1" applyFill="1" applyBorder="1" applyAlignment="1">
      <alignment horizontal="center" vertical="center"/>
    </xf>
    <xf numFmtId="168" fontId="3" fillId="9" borderId="1" xfId="1" applyNumberFormat="1" applyFont="1" applyFill="1" applyBorder="1" applyAlignment="1">
      <alignment horizontal="center" vertical="center"/>
    </xf>
    <xf numFmtId="4" fontId="3" fillId="9" borderId="62" xfId="1" applyNumberFormat="1" applyFont="1" applyFill="1" applyBorder="1" applyAlignment="1">
      <alignment horizontal="center" vertical="center"/>
    </xf>
    <xf numFmtId="4" fontId="26" fillId="9" borderId="6" xfId="1" applyNumberFormat="1" applyFont="1" applyFill="1" applyBorder="1" applyAlignment="1">
      <alignment horizontal="center" vertical="center"/>
    </xf>
    <xf numFmtId="0" fontId="2" fillId="9" borderId="1" xfId="1" applyFill="1" applyBorder="1" applyAlignment="1">
      <alignment horizontal="center" vertical="center"/>
    </xf>
    <xf numFmtId="2" fontId="3" fillId="9" borderId="62" xfId="1" applyNumberFormat="1" applyFont="1" applyFill="1" applyBorder="1" applyAlignment="1">
      <alignment horizontal="center" vertical="center"/>
    </xf>
    <xf numFmtId="4" fontId="3" fillId="9" borderId="1" xfId="1" applyNumberFormat="1" applyFont="1" applyFill="1" applyBorder="1" applyAlignment="1">
      <alignment horizontal="center" vertical="center"/>
    </xf>
    <xf numFmtId="0" fontId="3" fillId="9" borderId="1" xfId="1" applyFont="1" applyFill="1" applyBorder="1" applyAlignment="1">
      <alignment horizontal="center" vertical="center"/>
    </xf>
    <xf numFmtId="0" fontId="26" fillId="2" borderId="1" xfId="1" applyFont="1" applyFill="1" applyBorder="1" applyAlignment="1">
      <alignment horizontal="left" vertical="center" wrapText="1"/>
    </xf>
    <xf numFmtId="4" fontId="26" fillId="2" borderId="1" xfId="1" applyNumberFormat="1" applyFont="1" applyFill="1" applyBorder="1" applyAlignment="1">
      <alignment horizontal="center" vertical="center"/>
    </xf>
    <xf numFmtId="4" fontId="36" fillId="2" borderId="1" xfId="1" applyNumberFormat="1" applyFont="1" applyFill="1" applyBorder="1" applyAlignment="1">
      <alignment horizontal="center" vertical="center"/>
    </xf>
    <xf numFmtId="168" fontId="3" fillId="2" borderId="1" xfId="1" applyNumberFormat="1" applyFont="1" applyFill="1" applyBorder="1" applyAlignment="1">
      <alignment horizontal="center" vertical="center"/>
    </xf>
    <xf numFmtId="4" fontId="3" fillId="2" borderId="62" xfId="1" applyNumberFormat="1" applyFont="1" applyFill="1" applyBorder="1" applyAlignment="1">
      <alignment horizontal="center" vertical="center"/>
    </xf>
    <xf numFmtId="4" fontId="26" fillId="2" borderId="6" xfId="1" applyNumberFormat="1" applyFont="1" applyFill="1" applyBorder="1" applyAlignment="1">
      <alignment horizontal="center" vertical="center"/>
    </xf>
    <xf numFmtId="0" fontId="2" fillId="2" borderId="1" xfId="1" applyFill="1" applyBorder="1" applyAlignment="1">
      <alignment horizontal="center" vertical="center"/>
    </xf>
    <xf numFmtId="2" fontId="3" fillId="2" borderId="62" xfId="1" applyNumberFormat="1" applyFont="1" applyFill="1" applyBorder="1" applyAlignment="1">
      <alignment horizontal="center" vertical="center"/>
    </xf>
    <xf numFmtId="4" fontId="3" fillId="2" borderId="1" xfId="1" applyNumberFormat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/>
    </xf>
    <xf numFmtId="0" fontId="26" fillId="20" borderId="1" xfId="1" applyFont="1" applyFill="1" applyBorder="1" applyAlignment="1">
      <alignment horizontal="left" vertical="center" wrapText="1"/>
    </xf>
    <xf numFmtId="4" fontId="26" fillId="20" borderId="1" xfId="1" applyNumberFormat="1" applyFont="1" applyFill="1" applyBorder="1" applyAlignment="1">
      <alignment horizontal="center" vertical="center"/>
    </xf>
    <xf numFmtId="4" fontId="36" fillId="20" borderId="1" xfId="1" applyNumberFormat="1" applyFont="1" applyFill="1" applyBorder="1" applyAlignment="1">
      <alignment horizontal="center" vertical="center"/>
    </xf>
    <xf numFmtId="168" fontId="3" fillId="20" borderId="1" xfId="1" applyNumberFormat="1" applyFont="1" applyFill="1" applyBorder="1" applyAlignment="1">
      <alignment horizontal="center" vertical="center"/>
    </xf>
    <xf numFmtId="4" fontId="3" fillId="20" borderId="62" xfId="1" applyNumberFormat="1" applyFont="1" applyFill="1" applyBorder="1" applyAlignment="1">
      <alignment horizontal="center" vertical="center"/>
    </xf>
    <xf numFmtId="4" fontId="26" fillId="20" borderId="6" xfId="1" applyNumberFormat="1" applyFont="1" applyFill="1" applyBorder="1" applyAlignment="1">
      <alignment horizontal="center" vertical="center"/>
    </xf>
    <xf numFmtId="0" fontId="2" fillId="20" borderId="1" xfId="1" applyFill="1" applyBorder="1" applyAlignment="1">
      <alignment horizontal="center" vertical="center"/>
    </xf>
    <xf numFmtId="2" fontId="3" fillId="20" borderId="62" xfId="1" applyNumberFormat="1" applyFont="1" applyFill="1" applyBorder="1" applyAlignment="1">
      <alignment horizontal="center" vertical="center"/>
    </xf>
    <xf numFmtId="4" fontId="3" fillId="20" borderId="1" xfId="1" applyNumberFormat="1" applyFont="1" applyFill="1" applyBorder="1" applyAlignment="1">
      <alignment horizontal="center" vertical="center"/>
    </xf>
    <xf numFmtId="0" fontId="3" fillId="20" borderId="1" xfId="1" applyFont="1" applyFill="1" applyBorder="1" applyAlignment="1">
      <alignment horizontal="center" vertical="center"/>
    </xf>
    <xf numFmtId="0" fontId="26" fillId="3" borderId="1" xfId="1" applyFont="1" applyFill="1" applyBorder="1" applyAlignment="1">
      <alignment horizontal="left" vertical="center" wrapText="1"/>
    </xf>
    <xf numFmtId="4" fontId="26" fillId="3" borderId="6" xfId="1" applyNumberFormat="1" applyFont="1" applyFill="1" applyBorder="1" applyAlignment="1">
      <alignment horizontal="center" vertical="center"/>
    </xf>
    <xf numFmtId="0" fontId="2" fillId="3" borderId="1" xfId="1" applyFill="1" applyBorder="1" applyAlignment="1">
      <alignment horizontal="center" vertical="center"/>
    </xf>
    <xf numFmtId="2" fontId="3" fillId="3" borderId="62" xfId="1" applyNumberFormat="1" applyFont="1" applyFill="1" applyBorder="1" applyAlignment="1">
      <alignment horizontal="center" vertical="center"/>
    </xf>
    <xf numFmtId="4" fontId="3" fillId="3" borderId="1" xfId="1" applyNumberFormat="1" applyFont="1" applyFill="1" applyBorder="1" applyAlignment="1">
      <alignment horizontal="center" vertical="center"/>
    </xf>
    <xf numFmtId="0" fontId="3" fillId="3" borderId="1" xfId="1" applyFont="1" applyFill="1" applyBorder="1" applyAlignment="1">
      <alignment horizontal="center" vertical="center"/>
    </xf>
    <xf numFmtId="4" fontId="26" fillId="6" borderId="1" xfId="1" applyNumberFormat="1" applyFont="1" applyFill="1" applyBorder="1" applyAlignment="1">
      <alignment horizontal="center" vertical="center"/>
    </xf>
    <xf numFmtId="4" fontId="36" fillId="6" borderId="1" xfId="1" applyNumberFormat="1" applyFont="1" applyFill="1" applyBorder="1" applyAlignment="1">
      <alignment horizontal="center" vertical="center"/>
    </xf>
    <xf numFmtId="4" fontId="3" fillId="6" borderId="62" xfId="1" applyNumberFormat="1" applyFont="1" applyFill="1" applyBorder="1" applyAlignment="1">
      <alignment horizontal="center" vertical="center"/>
    </xf>
    <xf numFmtId="4" fontId="37" fillId="0" borderId="0" xfId="1" applyNumberFormat="1" applyFont="1" applyBorder="1" applyAlignment="1">
      <alignment horizontal="center" vertical="center"/>
    </xf>
    <xf numFmtId="4" fontId="38" fillId="6" borderId="6" xfId="1" applyNumberFormat="1" applyFont="1" applyFill="1" applyBorder="1" applyAlignment="1">
      <alignment horizontal="center" vertical="center"/>
    </xf>
    <xf numFmtId="0" fontId="37" fillId="6" borderId="1" xfId="1" applyFont="1" applyFill="1" applyBorder="1" applyAlignment="1">
      <alignment horizontal="center" vertical="center"/>
    </xf>
    <xf numFmtId="0" fontId="39" fillId="6" borderId="1" xfId="1" applyFont="1" applyFill="1" applyBorder="1" applyAlignment="1">
      <alignment horizontal="center" vertical="center"/>
    </xf>
    <xf numFmtId="0" fontId="2" fillId="21" borderId="0" xfId="1" applyFill="1" applyBorder="1" applyAlignment="1">
      <alignment horizontal="left" vertical="center"/>
    </xf>
    <xf numFmtId="4" fontId="26" fillId="21" borderId="1" xfId="1" applyNumberFormat="1" applyFont="1" applyFill="1" applyBorder="1" applyAlignment="1">
      <alignment horizontal="center" vertical="center"/>
    </xf>
    <xf numFmtId="4" fontId="36" fillId="21" borderId="1" xfId="1" applyNumberFormat="1" applyFont="1" applyFill="1" applyBorder="1" applyAlignment="1">
      <alignment horizontal="center" vertical="center"/>
    </xf>
    <xf numFmtId="168" fontId="3" fillId="21" borderId="1" xfId="1" applyNumberFormat="1" applyFont="1" applyFill="1" applyBorder="1" applyAlignment="1">
      <alignment horizontal="center" vertical="center"/>
    </xf>
    <xf numFmtId="4" fontId="3" fillId="21" borderId="62" xfId="1" applyNumberFormat="1" applyFont="1" applyFill="1" applyBorder="1" applyAlignment="1">
      <alignment horizontal="center" vertical="center"/>
    </xf>
    <xf numFmtId="4" fontId="26" fillId="21" borderId="6" xfId="1" applyNumberFormat="1" applyFont="1" applyFill="1" applyBorder="1" applyAlignment="1">
      <alignment horizontal="center" vertical="center"/>
    </xf>
    <xf numFmtId="0" fontId="2" fillId="21" borderId="1" xfId="1" applyFill="1" applyBorder="1" applyAlignment="1">
      <alignment horizontal="center" vertical="center"/>
    </xf>
    <xf numFmtId="2" fontId="3" fillId="21" borderId="62" xfId="1" applyNumberFormat="1" applyFont="1" applyFill="1" applyBorder="1" applyAlignment="1">
      <alignment horizontal="center" vertical="center"/>
    </xf>
    <xf numFmtId="4" fontId="26" fillId="0" borderId="6" xfId="1" applyNumberFormat="1" applyFont="1" applyFill="1" applyBorder="1" applyAlignment="1">
      <alignment horizontal="center" vertical="center"/>
    </xf>
    <xf numFmtId="4" fontId="3" fillId="0" borderId="1" xfId="1" applyNumberFormat="1" applyFont="1" applyFill="1" applyBorder="1" applyAlignment="1">
      <alignment horizontal="center" vertical="center"/>
    </xf>
    <xf numFmtId="4" fontId="36" fillId="3" borderId="6" xfId="1" applyNumberFormat="1" applyFont="1" applyFill="1" applyBorder="1" applyAlignment="1">
      <alignment horizontal="center" vertical="center"/>
    </xf>
    <xf numFmtId="0" fontId="36" fillId="0" borderId="1" xfId="1" applyFont="1" applyFill="1" applyBorder="1" applyAlignment="1">
      <alignment horizontal="center" vertical="center"/>
    </xf>
    <xf numFmtId="0" fontId="26" fillId="0" borderId="1" xfId="1" applyFont="1" applyFill="1" applyBorder="1" applyAlignment="1">
      <alignment horizontal="left" vertical="center" wrapText="1"/>
    </xf>
    <xf numFmtId="4" fontId="26" fillId="0" borderId="1" xfId="1" applyNumberFormat="1" applyFont="1" applyFill="1" applyBorder="1" applyAlignment="1">
      <alignment horizontal="center" vertical="center"/>
    </xf>
    <xf numFmtId="4" fontId="36" fillId="0" borderId="1" xfId="1" applyNumberFormat="1" applyFont="1" applyFill="1" applyBorder="1" applyAlignment="1">
      <alignment horizontal="center" vertical="center"/>
    </xf>
    <xf numFmtId="4" fontId="3" fillId="0" borderId="62" xfId="1" applyNumberFormat="1" applyFont="1" applyFill="1" applyBorder="1" applyAlignment="1">
      <alignment horizontal="center" vertical="center"/>
    </xf>
    <xf numFmtId="0" fontId="2" fillId="0" borderId="1" xfId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0" fontId="6" fillId="0" borderId="4" xfId="1" applyFont="1" applyBorder="1" applyAlignment="1">
      <alignment horizontal="center"/>
    </xf>
    <xf numFmtId="0" fontId="40" fillId="0" borderId="27" xfId="1" applyFont="1" applyBorder="1"/>
    <xf numFmtId="0" fontId="21" fillId="0" borderId="6" xfId="1" applyFont="1" applyBorder="1" applyAlignment="1">
      <alignment horizontal="right" vertical="center"/>
    </xf>
    <xf numFmtId="4" fontId="30" fillId="0" borderId="1" xfId="1" applyNumberFormat="1" applyFont="1" applyFill="1" applyBorder="1" applyAlignment="1">
      <alignment horizontal="center" vertical="center"/>
    </xf>
    <xf numFmtId="4" fontId="41" fillId="0" borderId="1" xfId="1" applyNumberFormat="1" applyFont="1" applyFill="1" applyBorder="1" applyAlignment="1">
      <alignment horizontal="center" vertical="center"/>
    </xf>
    <xf numFmtId="167" fontId="30" fillId="0" borderId="1" xfId="1" applyNumberFormat="1" applyFont="1" applyFill="1" applyBorder="1" applyAlignment="1">
      <alignment horizontal="center" vertical="center"/>
    </xf>
    <xf numFmtId="4" fontId="30" fillId="18" borderId="62" xfId="1" applyNumberFormat="1" applyFont="1" applyFill="1" applyBorder="1" applyAlignment="1">
      <alignment horizontal="center" vertical="center"/>
    </xf>
    <xf numFmtId="4" fontId="30" fillId="0" borderId="6" xfId="1" applyNumberFormat="1" applyFont="1" applyFill="1" applyBorder="1" applyAlignment="1">
      <alignment horizontal="center" vertical="center"/>
    </xf>
    <xf numFmtId="0" fontId="40" fillId="0" borderId="1" xfId="1" applyFont="1" applyBorder="1"/>
    <xf numFmtId="4" fontId="30" fillId="0" borderId="62" xfId="1" applyNumberFormat="1" applyFont="1" applyFill="1" applyBorder="1" applyAlignment="1">
      <alignment horizontal="center" vertical="center"/>
    </xf>
    <xf numFmtId="4" fontId="41" fillId="0" borderId="6" xfId="1" applyNumberFormat="1" applyFont="1" applyFill="1" applyBorder="1" applyAlignment="1">
      <alignment horizontal="center" vertical="center"/>
    </xf>
    <xf numFmtId="0" fontId="40" fillId="0" borderId="0" xfId="1" applyFont="1" applyBorder="1"/>
    <xf numFmtId="0" fontId="2" fillId="22" borderId="4" xfId="1" applyFill="1" applyBorder="1"/>
    <xf numFmtId="0" fontId="2" fillId="22" borderId="27" xfId="1" applyFill="1" applyBorder="1"/>
    <xf numFmtId="0" fontId="30" fillId="22" borderId="6" xfId="1" applyFont="1" applyFill="1" applyBorder="1" applyAlignment="1">
      <alignment horizontal="right"/>
    </xf>
    <xf numFmtId="4" fontId="32" fillId="22" borderId="1" xfId="1" applyNumberFormat="1" applyFont="1" applyFill="1" applyBorder="1" applyAlignment="1">
      <alignment horizontal="center" vertical="center"/>
    </xf>
    <xf numFmtId="4" fontId="36" fillId="22" borderId="1" xfId="1" applyNumberFormat="1" applyFont="1" applyFill="1" applyBorder="1" applyAlignment="1">
      <alignment horizontal="center" vertical="center"/>
    </xf>
    <xf numFmtId="168" fontId="32" fillId="22" borderId="1" xfId="1" applyNumberFormat="1" applyFont="1" applyFill="1" applyBorder="1" applyAlignment="1">
      <alignment horizontal="center" vertical="center"/>
    </xf>
    <xf numFmtId="4" fontId="32" fillId="22" borderId="62" xfId="1" applyNumberFormat="1" applyFont="1" applyFill="1" applyBorder="1" applyAlignment="1">
      <alignment horizontal="center" vertical="center"/>
    </xf>
    <xf numFmtId="4" fontId="32" fillId="22" borderId="6" xfId="1" applyNumberFormat="1" applyFont="1" applyFill="1" applyBorder="1" applyAlignment="1">
      <alignment horizontal="center" vertical="center"/>
    </xf>
    <xf numFmtId="0" fontId="2" fillId="23" borderId="4" xfId="1" applyFill="1" applyBorder="1"/>
    <xf numFmtId="0" fontId="2" fillId="23" borderId="27" xfId="1" applyFill="1" applyBorder="1"/>
    <xf numFmtId="0" fontId="30" fillId="23" borderId="6" xfId="1" applyFont="1" applyFill="1" applyBorder="1" applyAlignment="1">
      <alignment horizontal="right"/>
    </xf>
    <xf numFmtId="4" fontId="32" fillId="23" borderId="1" xfId="1" applyNumberFormat="1" applyFont="1" applyFill="1" applyBorder="1" applyAlignment="1">
      <alignment horizontal="center" vertical="center"/>
    </xf>
    <xf numFmtId="4" fontId="36" fillId="23" borderId="1" xfId="1" applyNumberFormat="1" applyFont="1" applyFill="1" applyBorder="1" applyAlignment="1">
      <alignment horizontal="center" vertical="center"/>
    </xf>
    <xf numFmtId="4" fontId="32" fillId="23" borderId="62" xfId="1" applyNumberFormat="1" applyFont="1" applyFill="1" applyBorder="1" applyAlignment="1">
      <alignment horizontal="center" vertical="center"/>
    </xf>
    <xf numFmtId="4" fontId="32" fillId="23" borderId="6" xfId="1" applyNumberFormat="1" applyFont="1" applyFill="1" applyBorder="1" applyAlignment="1">
      <alignment horizontal="center" vertical="center"/>
    </xf>
    <xf numFmtId="0" fontId="2" fillId="0" borderId="4" xfId="1" applyFill="1" applyBorder="1"/>
    <xf numFmtId="0" fontId="2" fillId="0" borderId="7" xfId="1" applyFill="1" applyBorder="1"/>
    <xf numFmtId="4" fontId="30" fillId="0" borderId="63" xfId="1" applyNumberFormat="1" applyFont="1" applyFill="1" applyBorder="1" applyAlignment="1">
      <alignment horizontal="center" vertical="center"/>
    </xf>
    <xf numFmtId="0" fontId="2" fillId="0" borderId="55" xfId="1" applyBorder="1"/>
    <xf numFmtId="0" fontId="2" fillId="0" borderId="25" xfId="1" applyBorder="1"/>
    <xf numFmtId="0" fontId="2" fillId="0" borderId="6" xfId="1" applyBorder="1"/>
    <xf numFmtId="0" fontId="2" fillId="0" borderId="1" xfId="1" applyBorder="1"/>
    <xf numFmtId="0" fontId="3" fillId="0" borderId="1" xfId="1" applyFont="1" applyBorder="1"/>
    <xf numFmtId="4" fontId="2" fillId="0" borderId="6" xfId="1" applyNumberFormat="1" applyBorder="1"/>
    <xf numFmtId="0" fontId="5" fillId="0" borderId="0" xfId="1" applyFont="1" applyFill="1" applyBorder="1"/>
    <xf numFmtId="17" fontId="2" fillId="17" borderId="48" xfId="1" applyNumberFormat="1" applyFill="1" applyBorder="1"/>
    <xf numFmtId="17" fontId="2" fillId="17" borderId="39" xfId="1" applyNumberFormat="1" applyFill="1" applyBorder="1"/>
    <xf numFmtId="0" fontId="2" fillId="17" borderId="39" xfId="1" applyFill="1" applyBorder="1"/>
    <xf numFmtId="0" fontId="2" fillId="17" borderId="40" xfId="1" applyFill="1" applyBorder="1"/>
    <xf numFmtId="0" fontId="2" fillId="2" borderId="48" xfId="1" applyFill="1" applyBorder="1"/>
    <xf numFmtId="17" fontId="2" fillId="2" borderId="39" xfId="1" applyNumberFormat="1" applyFill="1" applyBorder="1"/>
    <xf numFmtId="0" fontId="2" fillId="2" borderId="40" xfId="1" applyFill="1" applyBorder="1"/>
    <xf numFmtId="0" fontId="2" fillId="8" borderId="48" xfId="1" applyFill="1" applyBorder="1"/>
    <xf numFmtId="17" fontId="2" fillId="8" borderId="39" xfId="1" applyNumberFormat="1" applyFill="1" applyBorder="1"/>
    <xf numFmtId="0" fontId="2" fillId="8" borderId="40" xfId="1" applyFill="1" applyBorder="1"/>
    <xf numFmtId="0" fontId="2" fillId="0" borderId="60" xfId="1" applyBorder="1"/>
    <xf numFmtId="0" fontId="2" fillId="0" borderId="0" xfId="1" applyBorder="1"/>
    <xf numFmtId="0" fontId="2" fillId="0" borderId="57" xfId="1" applyBorder="1"/>
    <xf numFmtId="0" fontId="2" fillId="0" borderId="64" xfId="1" applyBorder="1"/>
    <xf numFmtId="0" fontId="2" fillId="0" borderId="59" xfId="1" applyBorder="1"/>
    <xf numFmtId="0" fontId="2" fillId="0" borderId="65" xfId="1" applyBorder="1"/>
    <xf numFmtId="0" fontId="3" fillId="0" borderId="59" xfId="1" applyFont="1" applyBorder="1"/>
    <xf numFmtId="0" fontId="31" fillId="0" borderId="0" xfId="1" applyFont="1" applyFill="1" applyBorder="1" applyAlignment="1">
      <alignment horizontal="center"/>
    </xf>
    <xf numFmtId="4" fontId="31" fillId="22" borderId="66" xfId="1" applyNumberFormat="1" applyFont="1" applyFill="1" applyBorder="1" applyAlignment="1">
      <alignment horizontal="right"/>
    </xf>
    <xf numFmtId="0" fontId="2" fillId="22" borderId="7" xfId="1" applyFill="1" applyBorder="1"/>
    <xf numFmtId="4" fontId="3" fillId="22" borderId="5" xfId="1" applyNumberFormat="1" applyFont="1" applyFill="1" applyBorder="1"/>
    <xf numFmtId="0" fontId="2" fillId="22" borderId="23" xfId="1" applyFill="1" applyBorder="1"/>
    <xf numFmtId="0" fontId="2" fillId="22" borderId="12" xfId="1" applyFill="1" applyBorder="1"/>
    <xf numFmtId="0" fontId="2" fillId="22" borderId="0" xfId="1" applyFill="1" applyBorder="1"/>
    <xf numFmtId="4" fontId="3" fillId="22" borderId="13" xfId="1" applyNumberFormat="1" applyFont="1" applyFill="1" applyBorder="1"/>
    <xf numFmtId="0" fontId="2" fillId="22" borderId="8" xfId="1" applyFill="1" applyBorder="1"/>
    <xf numFmtId="0" fontId="2" fillId="22" borderId="1" xfId="1" applyFill="1" applyBorder="1"/>
    <xf numFmtId="0" fontId="2" fillId="22" borderId="14" xfId="1" applyFill="1" applyBorder="1"/>
    <xf numFmtId="0" fontId="3" fillId="22" borderId="12" xfId="1" applyFont="1" applyFill="1" applyBorder="1"/>
    <xf numFmtId="0" fontId="13" fillId="0" borderId="0" xfId="1" applyFont="1" applyFill="1" applyBorder="1" applyAlignment="1">
      <alignment horizontal="right"/>
    </xf>
    <xf numFmtId="4" fontId="31" fillId="23" borderId="41" xfId="1" applyNumberFormat="1" applyFont="1" applyFill="1" applyBorder="1" applyAlignment="1">
      <alignment horizontal="right"/>
    </xf>
    <xf numFmtId="4" fontId="13" fillId="23" borderId="27" xfId="1" applyNumberFormat="1" applyFont="1" applyFill="1" applyBorder="1"/>
    <xf numFmtId="4" fontId="3" fillId="23" borderId="27" xfId="1" applyNumberFormat="1" applyFont="1" applyFill="1" applyBorder="1"/>
    <xf numFmtId="4" fontId="3" fillId="23" borderId="5" xfId="1" applyNumberFormat="1" applyFont="1" applyFill="1" applyBorder="1"/>
    <xf numFmtId="0" fontId="2" fillId="23" borderId="8" xfId="1" applyFill="1" applyBorder="1"/>
    <xf numFmtId="0" fontId="2" fillId="23" borderId="1" xfId="1" applyFill="1" applyBorder="1"/>
    <xf numFmtId="0" fontId="2" fillId="23" borderId="6" xfId="1" applyFill="1" applyBorder="1"/>
    <xf numFmtId="0" fontId="3" fillId="23" borderId="1" xfId="1" applyFont="1" applyFill="1" applyBorder="1"/>
    <xf numFmtId="0" fontId="31" fillId="0" borderId="0" xfId="1" applyFont="1" applyFill="1" applyBorder="1"/>
    <xf numFmtId="9" fontId="3" fillId="0" borderId="41" xfId="1" applyNumberFormat="1" applyFont="1" applyFill="1" applyBorder="1" applyAlignment="1">
      <alignment horizontal="right"/>
    </xf>
    <xf numFmtId="4" fontId="40" fillId="18" borderId="4" xfId="1" applyNumberFormat="1" applyFont="1" applyFill="1" applyBorder="1"/>
    <xf numFmtId="0" fontId="2" fillId="0" borderId="6" xfId="1" applyFill="1" applyBorder="1"/>
    <xf numFmtId="4" fontId="40" fillId="0" borderId="5" xfId="1" applyNumberFormat="1" applyFont="1" applyFill="1" applyBorder="1"/>
    <xf numFmtId="0" fontId="2" fillId="0" borderId="8" xfId="1" applyBorder="1"/>
    <xf numFmtId="4" fontId="40" fillId="0" borderId="0" xfId="1" applyNumberFormat="1" applyFont="1" applyFill="1" applyBorder="1"/>
    <xf numFmtId="0" fontId="42" fillId="22" borderId="54" xfId="1" applyFont="1" applyFill="1" applyBorder="1" applyAlignment="1">
      <alignment wrapText="1"/>
    </xf>
    <xf numFmtId="4" fontId="3" fillId="22" borderId="60" xfId="1" applyNumberFormat="1" applyFont="1" applyFill="1" applyBorder="1" applyAlignment="1">
      <alignment horizontal="center"/>
    </xf>
    <xf numFmtId="4" fontId="43" fillId="22" borderId="26" xfId="1" applyNumberFormat="1" applyFont="1" applyFill="1" applyBorder="1"/>
    <xf numFmtId="4" fontId="13" fillId="0" borderId="0" xfId="1" applyNumberFormat="1" applyFont="1" applyFill="1" applyBorder="1" applyAlignment="1">
      <alignment horizontal="right"/>
    </xf>
    <xf numFmtId="4" fontId="3" fillId="0" borderId="57" xfId="1" applyNumberFormat="1" applyFont="1" applyFill="1" applyBorder="1"/>
    <xf numFmtId="0" fontId="3" fillId="0" borderId="0" xfId="1" applyFont="1" applyBorder="1"/>
    <xf numFmtId="4" fontId="3" fillId="0" borderId="67" xfId="1" applyNumberFormat="1" applyFont="1" applyFill="1" applyBorder="1"/>
    <xf numFmtId="4" fontId="43" fillId="22" borderId="58" xfId="1" applyNumberFormat="1" applyFont="1" applyFill="1" applyBorder="1"/>
    <xf numFmtId="4" fontId="3" fillId="22" borderId="64" xfId="1" applyNumberFormat="1" applyFont="1" applyFill="1" applyBorder="1" applyAlignment="1">
      <alignment horizontal="center"/>
    </xf>
    <xf numFmtId="4" fontId="13" fillId="0" borderId="59" xfId="1" applyNumberFormat="1" applyFont="1" applyFill="1" applyBorder="1" applyAlignment="1">
      <alignment horizontal="right"/>
    </xf>
    <xf numFmtId="4" fontId="3" fillId="0" borderId="65" xfId="1" applyNumberFormat="1" applyFont="1" applyFill="1" applyBorder="1"/>
    <xf numFmtId="4" fontId="39" fillId="22" borderId="0" xfId="1" applyNumberFormat="1" applyFont="1" applyFill="1" applyBorder="1"/>
    <xf numFmtId="9" fontId="2" fillId="0" borderId="41" xfId="1" applyNumberFormat="1" applyFill="1" applyBorder="1" applyAlignment="1">
      <alignment horizontal="center"/>
    </xf>
    <xf numFmtId="4" fontId="3" fillId="22" borderId="15" xfId="1" applyNumberFormat="1" applyFont="1" applyFill="1" applyBorder="1" applyAlignment="1">
      <alignment horizontal="center"/>
    </xf>
    <xf numFmtId="0" fontId="2" fillId="0" borderId="27" xfId="1" applyBorder="1"/>
    <xf numFmtId="4" fontId="3" fillId="0" borderId="42" xfId="1" applyNumberFormat="1" applyFont="1" applyFill="1" applyBorder="1"/>
    <xf numFmtId="0" fontId="2" fillId="0" borderId="41" xfId="1" applyBorder="1"/>
    <xf numFmtId="0" fontId="3" fillId="0" borderId="27" xfId="1" applyFont="1" applyBorder="1"/>
    <xf numFmtId="0" fontId="2" fillId="0" borderId="60" xfId="1" applyFill="1" applyBorder="1"/>
    <xf numFmtId="4" fontId="13" fillId="0" borderId="0" xfId="1" applyNumberFormat="1" applyFont="1" applyFill="1" applyBorder="1"/>
    <xf numFmtId="0" fontId="2" fillId="0" borderId="57" xfId="1" applyBorder="1" applyAlignment="1">
      <alignment horizontal="right"/>
    </xf>
    <xf numFmtId="168" fontId="14" fillId="0" borderId="56" xfId="1" applyNumberFormat="1" applyFont="1" applyBorder="1"/>
    <xf numFmtId="168" fontId="14" fillId="0" borderId="57" xfId="1" applyNumberFormat="1" applyFont="1" applyBorder="1"/>
    <xf numFmtId="0" fontId="42" fillId="24" borderId="54" xfId="1" applyFont="1" applyFill="1" applyBorder="1" applyAlignment="1">
      <alignment wrapText="1"/>
    </xf>
    <xf numFmtId="0" fontId="30" fillId="22" borderId="27" xfId="1" applyFont="1" applyFill="1" applyBorder="1" applyAlignment="1">
      <alignment horizontal="right"/>
    </xf>
    <xf numFmtId="0" fontId="30" fillId="22" borderId="8" xfId="1" applyFont="1" applyFill="1" applyBorder="1" applyAlignment="1">
      <alignment horizontal="right"/>
    </xf>
    <xf numFmtId="0" fontId="32" fillId="22" borderId="42" xfId="1" applyFont="1" applyFill="1" applyBorder="1" applyAlignment="1">
      <alignment horizontal="right"/>
    </xf>
    <xf numFmtId="0" fontId="30" fillId="22" borderId="42" xfId="1" applyFont="1" applyFill="1" applyBorder="1" applyAlignment="1">
      <alignment horizontal="right"/>
    </xf>
    <xf numFmtId="0" fontId="41" fillId="22" borderId="6" xfId="1" applyFont="1" applyFill="1" applyBorder="1" applyAlignment="1">
      <alignment horizontal="right"/>
    </xf>
    <xf numFmtId="0" fontId="30" fillId="0" borderId="0" xfId="1" applyFont="1" applyFill="1" applyBorder="1" applyAlignment="1">
      <alignment horizontal="right"/>
    </xf>
    <xf numFmtId="0" fontId="30" fillId="23" borderId="27" xfId="1" applyFont="1" applyFill="1" applyBorder="1" applyAlignment="1">
      <alignment horizontal="right"/>
    </xf>
    <xf numFmtId="0" fontId="30" fillId="23" borderId="9" xfId="1" applyFont="1" applyFill="1" applyBorder="1" applyAlignment="1">
      <alignment horizontal="right"/>
    </xf>
    <xf numFmtId="0" fontId="30" fillId="23" borderId="10" xfId="1" applyFont="1" applyFill="1" applyBorder="1" applyAlignment="1">
      <alignment horizontal="right"/>
    </xf>
    <xf numFmtId="0" fontId="32" fillId="23" borderId="68" xfId="1" applyFont="1" applyFill="1" applyBorder="1" applyAlignment="1">
      <alignment horizontal="right"/>
    </xf>
    <xf numFmtId="0" fontId="30" fillId="23" borderId="42" xfId="1" applyFont="1" applyFill="1" applyBorder="1" applyAlignment="1">
      <alignment horizontal="right"/>
    </xf>
    <xf numFmtId="0" fontId="41" fillId="23" borderId="6" xfId="1" applyFont="1" applyFill="1" applyBorder="1" applyAlignment="1">
      <alignment horizontal="right"/>
    </xf>
    <xf numFmtId="4" fontId="9" fillId="11" borderId="6" xfId="0" applyNumberFormat="1" applyFont="1" applyFill="1" applyBorder="1" applyAlignment="1">
      <alignment horizontal="right" vertical="center"/>
    </xf>
    <xf numFmtId="4" fontId="19" fillId="11" borderId="10" xfId="0" applyNumberFormat="1" applyFont="1" applyFill="1" applyBorder="1" applyAlignment="1">
      <alignment horizontal="right" vertical="center"/>
    </xf>
    <xf numFmtId="4" fontId="9" fillId="11" borderId="1" xfId="0" applyNumberFormat="1" applyFont="1" applyFill="1" applyBorder="1" applyAlignment="1">
      <alignment horizontal="right" vertical="center"/>
    </xf>
    <xf numFmtId="4" fontId="19" fillId="11" borderId="20" xfId="0" applyNumberFormat="1" applyFont="1" applyFill="1" applyBorder="1" applyAlignment="1">
      <alignment horizontal="right" vertical="center"/>
    </xf>
    <xf numFmtId="164" fontId="7" fillId="0" borderId="64" xfId="0" applyNumberFormat="1" applyFont="1" applyFill="1" applyBorder="1" applyAlignment="1">
      <alignment horizontal="right"/>
    </xf>
    <xf numFmtId="4" fontId="5" fillId="0" borderId="49" xfId="0" applyNumberFormat="1" applyFont="1" applyFill="1" applyBorder="1" applyAlignment="1">
      <alignment horizontal="right"/>
    </xf>
    <xf numFmtId="0" fontId="8" fillId="0" borderId="69" xfId="0" applyFont="1" applyFill="1" applyBorder="1" applyAlignment="1"/>
    <xf numFmtId="4" fontId="6" fillId="0" borderId="70" xfId="0" applyNumberFormat="1" applyFont="1" applyFill="1" applyBorder="1" applyAlignment="1">
      <alignment horizontal="centerContinuous" vertical="center"/>
    </xf>
    <xf numFmtId="4" fontId="8" fillId="0" borderId="71" xfId="0" applyNumberFormat="1" applyFont="1" applyFill="1" applyBorder="1" applyAlignment="1">
      <alignment horizontal="right"/>
    </xf>
    <xf numFmtId="4" fontId="5" fillId="0" borderId="72" xfId="0" applyNumberFormat="1" applyFont="1" applyFill="1" applyBorder="1" applyAlignment="1">
      <alignment horizontal="right"/>
    </xf>
    <xf numFmtId="4" fontId="12" fillId="0" borderId="69" xfId="0" applyNumberFormat="1" applyFont="1" applyFill="1" applyBorder="1" applyAlignment="1"/>
    <xf numFmtId="164" fontId="7" fillId="0" borderId="69" xfId="0" applyNumberFormat="1" applyFont="1" applyFill="1" applyBorder="1" applyAlignment="1"/>
    <xf numFmtId="4" fontId="9" fillId="2" borderId="43" xfId="0" applyNumberFormat="1" applyFont="1" applyFill="1" applyBorder="1" applyAlignment="1">
      <alignment horizontal="right" vertical="center"/>
    </xf>
    <xf numFmtId="4" fontId="19" fillId="10" borderId="22" xfId="0" applyNumberFormat="1" applyFont="1" applyFill="1" applyBorder="1" applyAlignment="1">
      <alignment horizontal="right" vertical="center"/>
    </xf>
    <xf numFmtId="2" fontId="14" fillId="0" borderId="0" xfId="1" applyNumberFormat="1" applyFont="1" applyFill="1" applyAlignment="1">
      <alignment horizontal="center"/>
    </xf>
    <xf numFmtId="0" fontId="2" fillId="15" borderId="27" xfId="1" applyFill="1" applyBorder="1"/>
    <xf numFmtId="17" fontId="3" fillId="15" borderId="27" xfId="1" applyNumberFormat="1" applyFont="1" applyFill="1" applyBorder="1"/>
    <xf numFmtId="17" fontId="2" fillId="15" borderId="27" xfId="1" applyNumberFormat="1" applyFill="1" applyBorder="1"/>
    <xf numFmtId="0" fontId="2" fillId="15" borderId="61" xfId="1" applyFill="1" applyBorder="1"/>
    <xf numFmtId="0" fontId="34" fillId="15" borderId="6" xfId="1" applyFont="1" applyFill="1" applyBorder="1" applyAlignment="1">
      <alignment horizontal="center" vertical="center" wrapText="1"/>
    </xf>
    <xf numFmtId="0" fontId="35" fillId="15" borderId="1" xfId="1" applyFont="1" applyFill="1" applyBorder="1" applyAlignment="1">
      <alignment horizontal="center" vertical="center" wrapText="1"/>
    </xf>
    <xf numFmtId="0" fontId="34" fillId="15" borderId="1" xfId="1" applyFont="1" applyFill="1" applyBorder="1" applyAlignment="1">
      <alignment horizontal="center" vertical="center" wrapText="1"/>
    </xf>
    <xf numFmtId="0" fontId="34" fillId="15" borderId="62" xfId="1" applyFont="1" applyFill="1" applyBorder="1" applyAlignment="1">
      <alignment horizontal="center" vertical="center" wrapText="1"/>
    </xf>
    <xf numFmtId="4" fontId="26" fillId="0" borderId="6" xfId="6" applyNumberFormat="1" applyFont="1" applyBorder="1" applyAlignment="1">
      <alignment horizontal="center" vertical="center"/>
    </xf>
    <xf numFmtId="0" fontId="3" fillId="0" borderId="1" xfId="6" applyFont="1" applyBorder="1" applyAlignment="1">
      <alignment horizontal="center" vertical="center"/>
    </xf>
    <xf numFmtId="168" fontId="3" fillId="0" borderId="1" xfId="6" applyNumberFormat="1" applyFont="1" applyFill="1" applyBorder="1" applyAlignment="1">
      <alignment horizontal="center" vertical="center"/>
    </xf>
    <xf numFmtId="2" fontId="3" fillId="0" borderId="62" xfId="6" applyNumberFormat="1" applyFont="1" applyFill="1" applyBorder="1" applyAlignment="1">
      <alignment horizontal="center" vertical="center"/>
    </xf>
    <xf numFmtId="4" fontId="26" fillId="6" borderId="6" xfId="6" applyNumberFormat="1" applyFont="1" applyFill="1" applyBorder="1" applyAlignment="1">
      <alignment horizontal="center" vertical="center"/>
    </xf>
    <xf numFmtId="0" fontId="3" fillId="6" borderId="1" xfId="6" applyFont="1" applyFill="1" applyBorder="1" applyAlignment="1">
      <alignment horizontal="center" vertical="center"/>
    </xf>
    <xf numFmtId="168" fontId="3" fillId="6" borderId="1" xfId="6" applyNumberFormat="1" applyFont="1" applyFill="1" applyBorder="1" applyAlignment="1">
      <alignment horizontal="center" vertical="center"/>
    </xf>
    <xf numFmtId="2" fontId="3" fillId="6" borderId="62" xfId="6" applyNumberFormat="1" applyFont="1" applyFill="1" applyBorder="1" applyAlignment="1">
      <alignment horizontal="center" vertical="center"/>
    </xf>
    <xf numFmtId="0" fontId="3" fillId="9" borderId="1" xfId="6" applyFont="1" applyFill="1" applyBorder="1" applyAlignment="1">
      <alignment horizontal="center" vertical="center"/>
    </xf>
    <xf numFmtId="168" fontId="3" fillId="9" borderId="1" xfId="6" applyNumberFormat="1" applyFont="1" applyFill="1" applyBorder="1" applyAlignment="1">
      <alignment horizontal="center" vertical="center"/>
    </xf>
    <xf numFmtId="4" fontId="26" fillId="2" borderId="6" xfId="6" applyNumberFormat="1" applyFont="1" applyFill="1" applyBorder="1" applyAlignment="1">
      <alignment horizontal="center" vertical="center"/>
    </xf>
    <xf numFmtId="0" fontId="3" fillId="2" borderId="1" xfId="6" applyFont="1" applyFill="1" applyBorder="1" applyAlignment="1">
      <alignment horizontal="center" vertical="center"/>
    </xf>
    <xf numFmtId="168" fontId="3" fillId="2" borderId="1" xfId="6" applyNumberFormat="1" applyFont="1" applyFill="1" applyBorder="1" applyAlignment="1">
      <alignment horizontal="center" vertical="center"/>
    </xf>
    <xf numFmtId="2" fontId="3" fillId="2" borderId="62" xfId="6" applyNumberFormat="1" applyFont="1" applyFill="1" applyBorder="1" applyAlignment="1">
      <alignment horizontal="center" vertical="center"/>
    </xf>
    <xf numFmtId="4" fontId="36" fillId="0" borderId="1" xfId="6" applyNumberFormat="1" applyFont="1" applyBorder="1" applyAlignment="1">
      <alignment horizontal="center" vertical="center"/>
    </xf>
    <xf numFmtId="4" fontId="26" fillId="20" borderId="6" xfId="6" applyNumberFormat="1" applyFont="1" applyFill="1" applyBorder="1" applyAlignment="1">
      <alignment horizontal="center" vertical="center"/>
    </xf>
    <xf numFmtId="0" fontId="3" fillId="20" borderId="1" xfId="6" applyFont="1" applyFill="1" applyBorder="1" applyAlignment="1">
      <alignment horizontal="center" vertical="center"/>
    </xf>
    <xf numFmtId="168" fontId="3" fillId="20" borderId="1" xfId="6" applyNumberFormat="1" applyFont="1" applyFill="1" applyBorder="1" applyAlignment="1">
      <alignment horizontal="center" vertical="center"/>
    </xf>
    <xf numFmtId="2" fontId="3" fillId="20" borderId="62" xfId="6" applyNumberFormat="1" applyFont="1" applyFill="1" applyBorder="1" applyAlignment="1">
      <alignment horizontal="center" vertical="center"/>
    </xf>
    <xf numFmtId="4" fontId="26" fillId="9" borderId="6" xfId="6" applyNumberFormat="1" applyFont="1" applyFill="1" applyBorder="1" applyAlignment="1">
      <alignment horizontal="center" vertical="center"/>
    </xf>
    <xf numFmtId="2" fontId="3" fillId="9" borderId="62" xfId="6" applyNumberFormat="1" applyFont="1" applyFill="1" applyBorder="1" applyAlignment="1">
      <alignment horizontal="center" vertical="center"/>
    </xf>
    <xf numFmtId="4" fontId="26" fillId="12" borderId="6" xfId="6" applyNumberFormat="1" applyFont="1" applyFill="1" applyBorder="1" applyAlignment="1">
      <alignment horizontal="center" vertical="center"/>
    </xf>
    <xf numFmtId="0" fontId="3" fillId="3" borderId="1" xfId="6" applyFont="1" applyFill="1" applyBorder="1" applyAlignment="1">
      <alignment horizontal="center" vertical="center"/>
    </xf>
    <xf numFmtId="168" fontId="3" fillId="3" borderId="1" xfId="6" applyNumberFormat="1" applyFont="1" applyFill="1" applyBorder="1" applyAlignment="1">
      <alignment horizontal="center" vertical="center"/>
    </xf>
    <xf numFmtId="2" fontId="3" fillId="12" borderId="62" xfId="6" applyNumberFormat="1" applyFont="1" applyFill="1" applyBorder="1" applyAlignment="1">
      <alignment horizontal="center" vertical="center"/>
    </xf>
    <xf numFmtId="4" fontId="2" fillId="12" borderId="0" xfId="1" applyNumberFormat="1" applyFill="1" applyBorder="1" applyAlignment="1">
      <alignment horizontal="center" vertical="center"/>
    </xf>
    <xf numFmtId="4" fontId="46" fillId="0" borderId="0" xfId="1" applyNumberFormat="1" applyFont="1" applyBorder="1" applyAlignment="1">
      <alignment horizontal="center" vertical="center"/>
    </xf>
    <xf numFmtId="4" fontId="3" fillId="3" borderId="1" xfId="6" applyNumberFormat="1" applyFont="1" applyFill="1" applyBorder="1" applyAlignment="1">
      <alignment horizontal="center" vertical="center"/>
    </xf>
    <xf numFmtId="2" fontId="3" fillId="25" borderId="62" xfId="6" applyNumberFormat="1" applyFont="1" applyFill="1" applyBorder="1" applyAlignment="1">
      <alignment horizontal="center" vertical="center"/>
    </xf>
    <xf numFmtId="4" fontId="3" fillId="0" borderId="1" xfId="6" applyNumberFormat="1" applyFont="1" applyBorder="1" applyAlignment="1">
      <alignment horizontal="center" vertical="center"/>
    </xf>
    <xf numFmtId="4" fontId="38" fillId="6" borderId="6" xfId="6" applyNumberFormat="1" applyFont="1" applyFill="1" applyBorder="1" applyAlignment="1">
      <alignment horizontal="center" vertical="center"/>
    </xf>
    <xf numFmtId="0" fontId="39" fillId="6" borderId="1" xfId="6" applyFont="1" applyFill="1" applyBorder="1" applyAlignment="1">
      <alignment horizontal="center" vertical="center"/>
    </xf>
    <xf numFmtId="0" fontId="32" fillId="0" borderId="1" xfId="1" applyFont="1" applyFill="1" applyBorder="1" applyAlignment="1">
      <alignment horizontal="center" vertical="center"/>
    </xf>
    <xf numFmtId="4" fontId="26" fillId="0" borderId="6" xfId="6" applyNumberFormat="1" applyFont="1" applyFill="1" applyBorder="1" applyAlignment="1">
      <alignment horizontal="center" vertical="center"/>
    </xf>
    <xf numFmtId="0" fontId="3" fillId="0" borderId="1" xfId="6" applyFont="1" applyFill="1" applyBorder="1" applyAlignment="1">
      <alignment horizontal="center" vertical="center"/>
    </xf>
    <xf numFmtId="0" fontId="2" fillId="0" borderId="0" xfId="1" applyFill="1" applyBorder="1" applyAlignment="1">
      <alignment horizontal="center" vertical="center"/>
    </xf>
    <xf numFmtId="0" fontId="3" fillId="12" borderId="1" xfId="6" applyFont="1" applyFill="1" applyBorder="1" applyAlignment="1">
      <alignment horizontal="center" vertical="center"/>
    </xf>
    <xf numFmtId="168" fontId="3" fillId="12" borderId="1" xfId="6" applyNumberFormat="1" applyFont="1" applyFill="1" applyBorder="1" applyAlignment="1">
      <alignment horizontal="center" vertical="center"/>
    </xf>
    <xf numFmtId="4" fontId="26" fillId="3" borderId="6" xfId="6" applyNumberFormat="1" applyFont="1" applyFill="1" applyBorder="1" applyAlignment="1">
      <alignment horizontal="center" vertical="center"/>
    </xf>
    <xf numFmtId="4" fontId="36" fillId="3" borderId="6" xfId="6" applyNumberFormat="1" applyFont="1" applyFill="1" applyBorder="1" applyAlignment="1">
      <alignment horizontal="center" vertical="center"/>
    </xf>
    <xf numFmtId="2" fontId="3" fillId="3" borderId="62" xfId="6" applyNumberFormat="1" applyFont="1" applyFill="1" applyBorder="1" applyAlignment="1">
      <alignment horizontal="center" vertical="center"/>
    </xf>
    <xf numFmtId="0" fontId="32" fillId="0" borderId="1" xfId="6" applyFont="1" applyBorder="1" applyAlignment="1">
      <alignment horizontal="center" vertical="center"/>
    </xf>
    <xf numFmtId="0" fontId="36" fillId="0" borderId="1" xfId="6" applyFont="1" applyBorder="1" applyAlignment="1">
      <alignment horizontal="center" vertical="center"/>
    </xf>
    <xf numFmtId="0" fontId="26" fillId="0" borderId="1" xfId="6" applyFont="1" applyBorder="1" applyAlignment="1">
      <alignment horizontal="left" vertical="center" wrapText="1"/>
    </xf>
    <xf numFmtId="0" fontId="32" fillId="0" borderId="1" xfId="6" applyFont="1" applyFill="1" applyBorder="1" applyAlignment="1">
      <alignment horizontal="center" vertical="center"/>
    </xf>
    <xf numFmtId="0" fontId="36" fillId="0" borderId="1" xfId="6" applyFont="1" applyFill="1" applyBorder="1" applyAlignment="1">
      <alignment horizontal="center" vertical="center"/>
    </xf>
    <xf numFmtId="0" fontId="26" fillId="0" borderId="1" xfId="6" applyFont="1" applyFill="1" applyBorder="1" applyAlignment="1">
      <alignment horizontal="left" vertical="center" wrapText="1"/>
    </xf>
    <xf numFmtId="4" fontId="2" fillId="0" borderId="0" xfId="1" applyNumberFormat="1" applyFill="1" applyBorder="1" applyAlignment="1">
      <alignment horizontal="center" vertical="center"/>
    </xf>
    <xf numFmtId="4" fontId="26" fillId="26" borderId="6" xfId="6" applyNumberFormat="1" applyFont="1" applyFill="1" applyBorder="1" applyAlignment="1">
      <alignment horizontal="center" vertical="center"/>
    </xf>
    <xf numFmtId="2" fontId="3" fillId="26" borderId="62" xfId="6" applyNumberFormat="1" applyFont="1" applyFill="1" applyBorder="1" applyAlignment="1">
      <alignment horizontal="center" vertical="center"/>
    </xf>
    <xf numFmtId="4" fontId="30" fillId="0" borderId="6" xfId="6" applyNumberFormat="1" applyFont="1" applyFill="1" applyBorder="1" applyAlignment="1">
      <alignment horizontal="center" vertical="center"/>
    </xf>
    <xf numFmtId="4" fontId="41" fillId="0" borderId="6" xfId="6" applyNumberFormat="1" applyFont="1" applyFill="1" applyBorder="1" applyAlignment="1">
      <alignment horizontal="center" vertical="center"/>
    </xf>
    <xf numFmtId="167" fontId="30" fillId="0" borderId="1" xfId="6" applyNumberFormat="1" applyFont="1" applyFill="1" applyBorder="1" applyAlignment="1">
      <alignment horizontal="center" vertical="center"/>
    </xf>
    <xf numFmtId="4" fontId="30" fillId="0" borderId="62" xfId="6" applyNumberFormat="1" applyFont="1" applyFill="1" applyBorder="1" applyAlignment="1">
      <alignment horizontal="center" vertical="center"/>
    </xf>
    <xf numFmtId="4" fontId="32" fillId="22" borderId="6" xfId="6" applyNumberFormat="1" applyFont="1" applyFill="1" applyBorder="1" applyAlignment="1">
      <alignment horizontal="center" vertical="center"/>
    </xf>
    <xf numFmtId="4" fontId="36" fillId="22" borderId="1" xfId="6" applyNumberFormat="1" applyFont="1" applyFill="1" applyBorder="1" applyAlignment="1">
      <alignment horizontal="center" vertical="center"/>
    </xf>
    <xf numFmtId="168" fontId="32" fillId="22" borderId="1" xfId="6" applyNumberFormat="1" applyFont="1" applyFill="1" applyBorder="1" applyAlignment="1">
      <alignment horizontal="center" vertical="center"/>
    </xf>
    <xf numFmtId="4" fontId="32" fillId="22" borderId="62" xfId="6" applyNumberFormat="1" applyFont="1" applyFill="1" applyBorder="1" applyAlignment="1">
      <alignment horizontal="center" vertical="center"/>
    </xf>
    <xf numFmtId="4" fontId="2" fillId="0" borderId="0" xfId="1" applyNumberFormat="1"/>
    <xf numFmtId="4" fontId="32" fillId="23" borderId="6" xfId="6" applyNumberFormat="1" applyFont="1" applyFill="1" applyBorder="1" applyAlignment="1">
      <alignment horizontal="center" vertical="center"/>
    </xf>
    <xf numFmtId="4" fontId="36" fillId="23" borderId="1" xfId="6" applyNumberFormat="1" applyFont="1" applyFill="1" applyBorder="1" applyAlignment="1">
      <alignment horizontal="center" vertical="center"/>
    </xf>
    <xf numFmtId="4" fontId="32" fillId="23" borderId="62" xfId="6" applyNumberFormat="1" applyFont="1" applyFill="1" applyBorder="1" applyAlignment="1">
      <alignment horizontal="center" vertical="center"/>
    </xf>
    <xf numFmtId="4" fontId="2" fillId="0" borderId="6" xfId="6" applyNumberFormat="1" applyFont="1" applyBorder="1"/>
    <xf numFmtId="0" fontId="3" fillId="0" borderId="1" xfId="6" applyFont="1" applyBorder="1"/>
    <xf numFmtId="0" fontId="2" fillId="0" borderId="1" xfId="6" applyFont="1" applyBorder="1"/>
    <xf numFmtId="4" fontId="30" fillId="26" borderId="62" xfId="6" applyNumberFormat="1" applyFont="1" applyFill="1" applyBorder="1" applyAlignment="1">
      <alignment horizontal="center" vertical="center"/>
    </xf>
    <xf numFmtId="4" fontId="2" fillId="22" borderId="14" xfId="1" applyNumberFormat="1" applyFill="1" applyBorder="1"/>
    <xf numFmtId="4" fontId="2" fillId="26" borderId="6" xfId="1" applyNumberFormat="1" applyFill="1" applyBorder="1"/>
    <xf numFmtId="0" fontId="8" fillId="0" borderId="0" xfId="0" applyFont="1" applyFill="1" applyAlignment="1">
      <alignment horizontal="right"/>
    </xf>
    <xf numFmtId="0" fontId="2" fillId="16" borderId="27" xfId="1" applyFill="1" applyBorder="1"/>
    <xf numFmtId="17" fontId="3" fillId="16" borderId="27" xfId="1" applyNumberFormat="1" applyFont="1" applyFill="1" applyBorder="1"/>
    <xf numFmtId="17" fontId="2" fillId="16" borderId="27" xfId="1" applyNumberFormat="1" applyFill="1" applyBorder="1"/>
    <xf numFmtId="0" fontId="2" fillId="16" borderId="61" xfId="1" applyFill="1" applyBorder="1"/>
    <xf numFmtId="0" fontId="34" fillId="16" borderId="6" xfId="1" applyFont="1" applyFill="1" applyBorder="1" applyAlignment="1">
      <alignment horizontal="center" vertical="center" wrapText="1"/>
    </xf>
    <xf numFmtId="0" fontId="35" fillId="16" borderId="1" xfId="1" applyFont="1" applyFill="1" applyBorder="1" applyAlignment="1">
      <alignment horizontal="center" vertical="center" wrapText="1"/>
    </xf>
    <xf numFmtId="0" fontId="34" fillId="16" borderId="1" xfId="1" applyFont="1" applyFill="1" applyBorder="1" applyAlignment="1">
      <alignment horizontal="center" vertical="center" wrapText="1"/>
    </xf>
    <xf numFmtId="0" fontId="34" fillId="16" borderId="62" xfId="1" applyFont="1" applyFill="1" applyBorder="1" applyAlignment="1">
      <alignment horizontal="center" vertical="center" wrapText="1"/>
    </xf>
    <xf numFmtId="168" fontId="3" fillId="27" borderId="1" xfId="6" applyNumberFormat="1" applyFont="1" applyFill="1" applyBorder="1" applyAlignment="1">
      <alignment horizontal="center" vertical="center"/>
    </xf>
    <xf numFmtId="4" fontId="26" fillId="28" borderId="6" xfId="6" applyNumberFormat="1" applyFont="1" applyFill="1" applyBorder="1" applyAlignment="1">
      <alignment horizontal="center" vertical="center"/>
    </xf>
    <xf numFmtId="4" fontId="3" fillId="28" borderId="1" xfId="6" applyNumberFormat="1" applyFont="1" applyFill="1" applyBorder="1" applyAlignment="1">
      <alignment horizontal="center" vertical="center"/>
    </xf>
    <xf numFmtId="168" fontId="3" fillId="28" borderId="1" xfId="6" applyNumberFormat="1" applyFont="1" applyFill="1" applyBorder="1" applyAlignment="1">
      <alignment horizontal="center" vertical="center"/>
    </xf>
    <xf numFmtId="168" fontId="32" fillId="23" borderId="1" xfId="1" applyNumberFormat="1" applyFont="1" applyFill="1" applyBorder="1" applyAlignment="1">
      <alignment horizontal="center" vertical="center"/>
    </xf>
    <xf numFmtId="168" fontId="32" fillId="23" borderId="1" xfId="6" applyNumberFormat="1" applyFont="1" applyFill="1" applyBorder="1" applyAlignment="1">
      <alignment horizontal="center" vertical="center"/>
    </xf>
    <xf numFmtId="4" fontId="30" fillId="28" borderId="62" xfId="6" applyNumberFormat="1" applyFont="1" applyFill="1" applyBorder="1" applyAlignment="1">
      <alignment horizontal="center" vertical="center"/>
    </xf>
    <xf numFmtId="4" fontId="2" fillId="29" borderId="6" xfId="1" applyNumberFormat="1" applyFill="1" applyBorder="1"/>
    <xf numFmtId="4" fontId="2" fillId="0" borderId="57" xfId="1" applyNumberFormat="1" applyBorder="1"/>
    <xf numFmtId="0" fontId="47" fillId="0" borderId="0" xfId="0" applyFont="1"/>
    <xf numFmtId="0" fontId="47" fillId="0" borderId="0" xfId="0" applyFont="1" applyFill="1" applyAlignment="1">
      <alignment horizontal="center"/>
    </xf>
    <xf numFmtId="0" fontId="47" fillId="0" borderId="0" xfId="0" applyFont="1" applyFill="1"/>
    <xf numFmtId="0" fontId="48" fillId="0" borderId="0" xfId="0" applyFont="1" applyFill="1" applyAlignment="1">
      <alignment horizontal="center"/>
    </xf>
    <xf numFmtId="0" fontId="47" fillId="0" borderId="59" xfId="0" applyFont="1" applyFill="1" applyBorder="1"/>
    <xf numFmtId="0" fontId="47" fillId="0" borderId="27" xfId="0" applyFont="1" applyFill="1" applyBorder="1"/>
    <xf numFmtId="4" fontId="47" fillId="0" borderId="27" xfId="0" applyNumberFormat="1" applyFont="1" applyFill="1" applyBorder="1"/>
    <xf numFmtId="17" fontId="47" fillId="0" borderId="27" xfId="0" applyNumberFormat="1" applyFont="1" applyFill="1" applyBorder="1"/>
    <xf numFmtId="0" fontId="47" fillId="0" borderId="11" xfId="0" applyFont="1" applyFill="1" applyBorder="1"/>
    <xf numFmtId="0" fontId="47" fillId="0" borderId="1" xfId="0" applyFont="1" applyFill="1" applyBorder="1" applyAlignment="1">
      <alignment vertical="top" wrapText="1"/>
    </xf>
    <xf numFmtId="0" fontId="47" fillId="0" borderId="8" xfId="0" applyFont="1" applyFill="1" applyBorder="1" applyAlignment="1">
      <alignment horizontal="center" vertical="center" wrapText="1"/>
    </xf>
    <xf numFmtId="4" fontId="47" fillId="0" borderId="1" xfId="0" applyNumberFormat="1" applyFont="1" applyFill="1" applyBorder="1" applyAlignment="1">
      <alignment horizontal="center" vertical="center" wrapText="1"/>
    </xf>
    <xf numFmtId="4" fontId="47" fillId="3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/>
    </xf>
    <xf numFmtId="10" fontId="3" fillId="0" borderId="1" xfId="0" applyNumberFormat="1" applyFont="1" applyFill="1" applyBorder="1" applyAlignment="1">
      <alignment horizontal="center"/>
    </xf>
    <xf numFmtId="2" fontId="47" fillId="0" borderId="0" xfId="0" applyNumberFormat="1" applyFont="1"/>
    <xf numFmtId="4" fontId="47" fillId="0" borderId="0" xfId="0" applyNumberFormat="1" applyFont="1"/>
    <xf numFmtId="0" fontId="48" fillId="0" borderId="9" xfId="0" applyFont="1" applyFill="1" applyBorder="1" applyAlignment="1">
      <alignment horizontal="center" vertical="center" wrapText="1"/>
    </xf>
    <xf numFmtId="4" fontId="48" fillId="0" borderId="20" xfId="0" applyNumberFormat="1" applyFont="1" applyFill="1" applyBorder="1" applyAlignment="1">
      <alignment horizontal="center" vertical="center" wrapText="1"/>
    </xf>
    <xf numFmtId="43" fontId="48" fillId="0" borderId="0" xfId="0" applyNumberFormat="1" applyFont="1" applyFill="1" applyAlignment="1">
      <alignment wrapText="1"/>
    </xf>
    <xf numFmtId="4" fontId="47" fillId="0" borderId="0" xfId="0" applyNumberFormat="1" applyFont="1" applyFill="1"/>
    <xf numFmtId="0" fontId="47" fillId="0" borderId="0" xfId="0" applyFont="1" applyFill="1" applyBorder="1" applyAlignment="1">
      <alignment horizontal="right"/>
    </xf>
    <xf numFmtId="43" fontId="47" fillId="0" borderId="0" xfId="0" applyNumberFormat="1" applyFont="1" applyFill="1" applyAlignment="1">
      <alignment horizontal="right" wrapText="1"/>
    </xf>
    <xf numFmtId="4" fontId="47" fillId="0" borderId="0" xfId="0" applyNumberFormat="1" applyFont="1" applyFill="1" applyBorder="1" applyAlignment="1">
      <alignment horizontal="right"/>
    </xf>
    <xf numFmtId="0" fontId="47" fillId="0" borderId="0" xfId="0" applyFont="1" applyFill="1" applyBorder="1"/>
    <xf numFmtId="169" fontId="47" fillId="0" borderId="0" xfId="0" applyNumberFormat="1" applyFont="1" applyFill="1"/>
    <xf numFmtId="170" fontId="47" fillId="0" borderId="0" xfId="0" applyNumberFormat="1" applyFont="1" applyFill="1"/>
    <xf numFmtId="164" fontId="47" fillId="0" borderId="0" xfId="0" applyNumberFormat="1" applyFont="1" applyFill="1" applyAlignment="1">
      <alignment horizontal="right" wrapText="1"/>
    </xf>
    <xf numFmtId="0" fontId="47" fillId="0" borderId="0" xfId="0" applyFont="1" applyFill="1" applyAlignment="1">
      <alignment horizontal="right"/>
    </xf>
    <xf numFmtId="0" fontId="26" fillId="0" borderId="0" xfId="0" applyFont="1"/>
    <xf numFmtId="4" fontId="26" fillId="0" borderId="0" xfId="0" applyNumberFormat="1" applyFont="1"/>
    <xf numFmtId="0" fontId="17" fillId="0" borderId="0" xfId="0" applyFont="1" applyFill="1"/>
    <xf numFmtId="0" fontId="17" fillId="0" borderId="0" xfId="0" applyFont="1" applyAlignment="1"/>
    <xf numFmtId="0" fontId="17" fillId="0" borderId="0" xfId="0" applyFont="1"/>
    <xf numFmtId="0" fontId="26" fillId="0" borderId="0" xfId="0" applyFont="1" applyFill="1" applyAlignment="1">
      <alignment horizontal="right"/>
    </xf>
    <xf numFmtId="0" fontId="17" fillId="0" borderId="0" xfId="0" applyFont="1" applyFill="1" applyAlignment="1">
      <alignment horizontal="left"/>
    </xf>
    <xf numFmtId="4" fontId="0" fillId="0" borderId="0" xfId="0" applyNumberFormat="1"/>
    <xf numFmtId="0" fontId="2" fillId="31" borderId="27" xfId="1" applyFill="1" applyBorder="1"/>
    <xf numFmtId="17" fontId="3" fillId="31" borderId="27" xfId="1" applyNumberFormat="1" applyFont="1" applyFill="1" applyBorder="1"/>
    <xf numFmtId="17" fontId="2" fillId="31" borderId="27" xfId="1" applyNumberFormat="1" applyFill="1" applyBorder="1"/>
    <xf numFmtId="0" fontId="2" fillId="31" borderId="61" xfId="1" applyFill="1" applyBorder="1"/>
    <xf numFmtId="0" fontId="34" fillId="31" borderId="6" xfId="1" applyFont="1" applyFill="1" applyBorder="1" applyAlignment="1">
      <alignment horizontal="center" vertical="center" wrapText="1"/>
    </xf>
    <xf numFmtId="0" fontId="35" fillId="31" borderId="1" xfId="1" applyFont="1" applyFill="1" applyBorder="1" applyAlignment="1">
      <alignment horizontal="center" vertical="center" wrapText="1"/>
    </xf>
    <xf numFmtId="0" fontId="34" fillId="31" borderId="1" xfId="1" applyFont="1" applyFill="1" applyBorder="1" applyAlignment="1">
      <alignment horizontal="center" vertical="center" wrapText="1"/>
    </xf>
    <xf numFmtId="0" fontId="34" fillId="31" borderId="62" xfId="1" applyFont="1" applyFill="1" applyBorder="1" applyAlignment="1">
      <alignment horizontal="center" vertical="center" wrapText="1"/>
    </xf>
    <xf numFmtId="0" fontId="2" fillId="12" borderId="27" xfId="1" applyFill="1" applyBorder="1"/>
    <xf numFmtId="17" fontId="3" fillId="12" borderId="27" xfId="1" applyNumberFormat="1" applyFont="1" applyFill="1" applyBorder="1"/>
    <xf numFmtId="17" fontId="2" fillId="12" borderId="27" xfId="1" applyNumberFormat="1" applyFill="1" applyBorder="1"/>
    <xf numFmtId="0" fontId="2" fillId="12" borderId="61" xfId="1" applyFill="1" applyBorder="1"/>
    <xf numFmtId="0" fontId="2" fillId="27" borderId="27" xfId="1" applyFill="1" applyBorder="1"/>
    <xf numFmtId="17" fontId="3" fillId="27" borderId="27" xfId="1" applyNumberFormat="1" applyFont="1" applyFill="1" applyBorder="1"/>
    <xf numFmtId="17" fontId="2" fillId="27" borderId="27" xfId="1" applyNumberFormat="1" applyFill="1" applyBorder="1"/>
    <xf numFmtId="0" fontId="2" fillId="27" borderId="61" xfId="1" applyFill="1" applyBorder="1"/>
    <xf numFmtId="0" fontId="34" fillId="12" borderId="6" xfId="1" applyFont="1" applyFill="1" applyBorder="1" applyAlignment="1">
      <alignment horizontal="center" vertical="center" wrapText="1"/>
    </xf>
    <xf numFmtId="0" fontId="35" fillId="12" borderId="1" xfId="1" applyFont="1" applyFill="1" applyBorder="1" applyAlignment="1">
      <alignment horizontal="center" vertical="center" wrapText="1"/>
    </xf>
    <xf numFmtId="0" fontId="34" fillId="12" borderId="1" xfId="1" applyFont="1" applyFill="1" applyBorder="1" applyAlignment="1">
      <alignment horizontal="center" vertical="center" wrapText="1"/>
    </xf>
    <xf numFmtId="0" fontId="34" fillId="12" borderId="62" xfId="1" applyFont="1" applyFill="1" applyBorder="1" applyAlignment="1">
      <alignment horizontal="center" vertical="center" wrapText="1"/>
    </xf>
    <xf numFmtId="0" fontId="34" fillId="27" borderId="6" xfId="1" applyFont="1" applyFill="1" applyBorder="1" applyAlignment="1">
      <alignment horizontal="center" vertical="center" wrapText="1"/>
    </xf>
    <xf numFmtId="0" fontId="35" fillId="27" borderId="1" xfId="1" applyFont="1" applyFill="1" applyBorder="1" applyAlignment="1">
      <alignment horizontal="center" vertical="center" wrapText="1"/>
    </xf>
    <xf numFmtId="0" fontId="34" fillId="27" borderId="1" xfId="1" applyFont="1" applyFill="1" applyBorder="1" applyAlignment="1">
      <alignment horizontal="center" vertical="center" wrapText="1"/>
    </xf>
    <xf numFmtId="0" fontId="34" fillId="27" borderId="62" xfId="1" applyFont="1" applyFill="1" applyBorder="1" applyAlignment="1">
      <alignment horizontal="center" vertical="center" wrapText="1"/>
    </xf>
    <xf numFmtId="0" fontId="3" fillId="28" borderId="1" xfId="6" applyFont="1" applyFill="1" applyBorder="1" applyAlignment="1">
      <alignment horizontal="center" vertical="center"/>
    </xf>
    <xf numFmtId="0" fontId="32" fillId="28" borderId="1" xfId="1" applyFont="1" applyFill="1" applyBorder="1" applyAlignment="1">
      <alignment horizontal="center" vertical="center"/>
    </xf>
    <xf numFmtId="0" fontId="36" fillId="28" borderId="1" xfId="1" applyFont="1" applyFill="1" applyBorder="1" applyAlignment="1">
      <alignment horizontal="center" vertical="center"/>
    </xf>
    <xf numFmtId="0" fontId="26" fillId="28" borderId="1" xfId="1" applyFont="1" applyFill="1" applyBorder="1" applyAlignment="1">
      <alignment horizontal="left" vertical="center" wrapText="1"/>
    </xf>
    <xf numFmtId="4" fontId="26" fillId="28" borderId="1" xfId="1" applyNumberFormat="1" applyFont="1" applyFill="1" applyBorder="1" applyAlignment="1">
      <alignment horizontal="center" vertical="center"/>
    </xf>
    <xf numFmtId="4" fontId="36" fillId="28" borderId="1" xfId="1" applyNumberFormat="1" applyFont="1" applyFill="1" applyBorder="1" applyAlignment="1">
      <alignment horizontal="center" vertical="center"/>
    </xf>
    <xf numFmtId="168" fontId="3" fillId="28" borderId="1" xfId="1" applyNumberFormat="1" applyFont="1" applyFill="1" applyBorder="1" applyAlignment="1">
      <alignment horizontal="center" vertical="center"/>
    </xf>
    <xf numFmtId="4" fontId="3" fillId="28" borderId="62" xfId="1" applyNumberFormat="1" applyFont="1" applyFill="1" applyBorder="1" applyAlignment="1">
      <alignment horizontal="center" vertical="center"/>
    </xf>
    <xf numFmtId="4" fontId="26" fillId="28" borderId="6" xfId="1" applyNumberFormat="1" applyFont="1" applyFill="1" applyBorder="1" applyAlignment="1">
      <alignment horizontal="center" vertical="center"/>
    </xf>
    <xf numFmtId="0" fontId="2" fillId="28" borderId="1" xfId="1" applyFill="1" applyBorder="1" applyAlignment="1">
      <alignment horizontal="center" vertical="center"/>
    </xf>
    <xf numFmtId="2" fontId="3" fillId="28" borderId="62" xfId="1" applyNumberFormat="1" applyFont="1" applyFill="1" applyBorder="1" applyAlignment="1">
      <alignment horizontal="center" vertical="center"/>
    </xf>
    <xf numFmtId="4" fontId="3" fillId="28" borderId="1" xfId="1" applyNumberFormat="1" applyFont="1" applyFill="1" applyBorder="1" applyAlignment="1">
      <alignment horizontal="center" vertical="center"/>
    </xf>
    <xf numFmtId="0" fontId="3" fillId="28" borderId="1" xfId="1" applyFont="1" applyFill="1" applyBorder="1" applyAlignment="1">
      <alignment horizontal="center" vertical="center"/>
    </xf>
    <xf numFmtId="2" fontId="3" fillId="28" borderId="62" xfId="6" applyNumberFormat="1" applyFont="1" applyFill="1" applyBorder="1" applyAlignment="1">
      <alignment horizontal="center" vertical="center"/>
    </xf>
    <xf numFmtId="2" fontId="3" fillId="28" borderId="0" xfId="1" applyNumberFormat="1" applyFont="1" applyFill="1" applyBorder="1" applyAlignment="1">
      <alignment horizontal="center" vertical="center"/>
    </xf>
    <xf numFmtId="4" fontId="2" fillId="28" borderId="0" xfId="1" applyNumberFormat="1" applyFill="1" applyBorder="1" applyAlignment="1">
      <alignment horizontal="center" vertical="center"/>
    </xf>
    <xf numFmtId="4" fontId="46" fillId="28" borderId="0" xfId="1" applyNumberFormat="1" applyFont="1" applyFill="1" applyBorder="1" applyAlignment="1">
      <alignment horizontal="center" vertical="center"/>
    </xf>
    <xf numFmtId="0" fontId="2" fillId="28" borderId="0" xfId="1" applyFill="1" applyBorder="1" applyAlignment="1">
      <alignment horizontal="center" vertical="center"/>
    </xf>
    <xf numFmtId="4" fontId="26" fillId="12" borderId="6" xfId="1" applyNumberFormat="1" applyFont="1" applyFill="1" applyBorder="1" applyAlignment="1">
      <alignment horizontal="center" vertical="center"/>
    </xf>
    <xf numFmtId="2" fontId="3" fillId="12" borderId="62" xfId="1" applyNumberFormat="1" applyFont="1" applyFill="1" applyBorder="1" applyAlignment="1">
      <alignment horizontal="center" vertical="center"/>
    </xf>
    <xf numFmtId="0" fontId="2" fillId="28" borderId="0" xfId="1" applyFill="1" applyBorder="1" applyAlignment="1">
      <alignment horizontal="left" vertical="center"/>
    </xf>
    <xf numFmtId="4" fontId="36" fillId="12" borderId="6" xfId="1" applyNumberFormat="1" applyFont="1" applyFill="1" applyBorder="1" applyAlignment="1">
      <alignment horizontal="center" vertical="center"/>
    </xf>
    <xf numFmtId="4" fontId="3" fillId="28" borderId="6" xfId="1" applyNumberFormat="1" applyFont="1" applyFill="1" applyBorder="1" applyAlignment="1">
      <alignment horizontal="center" vertical="center"/>
    </xf>
    <xf numFmtId="0" fontId="2" fillId="28" borderId="6" xfId="1" applyFill="1" applyBorder="1" applyAlignment="1">
      <alignment horizontal="center" vertical="center"/>
    </xf>
    <xf numFmtId="0" fontId="3" fillId="28" borderId="6" xfId="1" applyFont="1" applyFill="1" applyBorder="1" applyAlignment="1">
      <alignment horizontal="center" vertical="center"/>
    </xf>
    <xf numFmtId="0" fontId="3" fillId="28" borderId="6" xfId="6" applyFont="1" applyFill="1" applyBorder="1" applyAlignment="1">
      <alignment horizontal="center" vertical="center"/>
    </xf>
    <xf numFmtId="0" fontId="26" fillId="14" borderId="1" xfId="6" applyFont="1" applyFill="1" applyBorder="1" applyAlignment="1">
      <alignment horizontal="left" vertical="center" wrapText="1"/>
    </xf>
    <xf numFmtId="4" fontId="26" fillId="14" borderId="1" xfId="1" applyNumberFormat="1" applyFont="1" applyFill="1" applyBorder="1" applyAlignment="1">
      <alignment horizontal="center" vertical="center"/>
    </xf>
    <xf numFmtId="4" fontId="36" fillId="14" borderId="1" xfId="1" applyNumberFormat="1" applyFont="1" applyFill="1" applyBorder="1" applyAlignment="1">
      <alignment horizontal="center" vertical="center"/>
    </xf>
    <xf numFmtId="168" fontId="3" fillId="14" borderId="1" xfId="1" applyNumberFormat="1" applyFont="1" applyFill="1" applyBorder="1" applyAlignment="1">
      <alignment horizontal="center" vertical="center"/>
    </xf>
    <xf numFmtId="4" fontId="3" fillId="14" borderId="62" xfId="1" applyNumberFormat="1" applyFont="1" applyFill="1" applyBorder="1" applyAlignment="1">
      <alignment horizontal="center" vertical="center"/>
    </xf>
    <xf numFmtId="4" fontId="26" fillId="14" borderId="6" xfId="1" applyNumberFormat="1" applyFont="1" applyFill="1" applyBorder="1" applyAlignment="1">
      <alignment horizontal="center" vertical="center"/>
    </xf>
    <xf numFmtId="0" fontId="2" fillId="14" borderId="1" xfId="1" applyFill="1" applyBorder="1" applyAlignment="1">
      <alignment horizontal="center" vertical="center"/>
    </xf>
    <xf numFmtId="2" fontId="3" fillId="14" borderId="62" xfId="1" applyNumberFormat="1" applyFont="1" applyFill="1" applyBorder="1" applyAlignment="1">
      <alignment horizontal="center" vertical="center"/>
    </xf>
    <xf numFmtId="4" fontId="3" fillId="14" borderId="1" xfId="1" applyNumberFormat="1" applyFont="1" applyFill="1" applyBorder="1" applyAlignment="1">
      <alignment horizontal="center" vertical="center"/>
    </xf>
    <xf numFmtId="4" fontId="26" fillId="14" borderId="6" xfId="6" applyNumberFormat="1" applyFont="1" applyFill="1" applyBorder="1" applyAlignment="1">
      <alignment horizontal="center" vertical="center"/>
    </xf>
    <xf numFmtId="4" fontId="3" fillId="14" borderId="1" xfId="6" applyNumberFormat="1" applyFont="1" applyFill="1" applyBorder="1" applyAlignment="1">
      <alignment horizontal="center" vertical="center"/>
    </xf>
    <xf numFmtId="168" fontId="3" fillId="14" borderId="1" xfId="6" applyNumberFormat="1" applyFont="1" applyFill="1" applyBorder="1" applyAlignment="1">
      <alignment horizontal="center" vertical="center"/>
    </xf>
    <xf numFmtId="2" fontId="3" fillId="14" borderId="62" xfId="6" applyNumberFormat="1" applyFont="1" applyFill="1" applyBorder="1" applyAlignment="1">
      <alignment horizontal="center" vertical="center"/>
    </xf>
    <xf numFmtId="0" fontId="6" fillId="28" borderId="4" xfId="0" applyFont="1" applyFill="1" applyBorder="1" applyAlignment="1">
      <alignment vertical="top" wrapText="1"/>
    </xf>
    <xf numFmtId="4" fontId="8" fillId="13" borderId="6" xfId="0" applyNumberFormat="1" applyFont="1" applyFill="1" applyBorder="1" applyAlignment="1">
      <alignment horizontal="right"/>
    </xf>
    <xf numFmtId="4" fontId="8" fillId="28" borderId="6" xfId="0" applyNumberFormat="1" applyFont="1" applyFill="1" applyBorder="1" applyAlignment="1">
      <alignment horizontal="right" vertical="center"/>
    </xf>
    <xf numFmtId="2" fontId="6" fillId="28" borderId="18" xfId="0" applyNumberFormat="1" applyFont="1" applyFill="1" applyBorder="1" applyAlignment="1">
      <alignment horizontal="right"/>
    </xf>
    <xf numFmtId="2" fontId="6" fillId="28" borderId="5" xfId="0" applyNumberFormat="1" applyFont="1" applyFill="1" applyBorder="1" applyAlignment="1">
      <alignment horizontal="right"/>
    </xf>
    <xf numFmtId="4" fontId="8" fillId="28" borderId="1" xfId="0" applyNumberFormat="1" applyFont="1" applyFill="1" applyBorder="1" applyAlignment="1">
      <alignment horizontal="right"/>
    </xf>
    <xf numFmtId="4" fontId="8" fillId="28" borderId="8" xfId="0" applyNumberFormat="1" applyFont="1" applyFill="1" applyBorder="1" applyAlignment="1">
      <alignment horizontal="right"/>
    </xf>
    <xf numFmtId="4" fontId="8" fillId="28" borderId="6" xfId="0" applyNumberFormat="1" applyFont="1" applyFill="1" applyBorder="1" applyAlignment="1">
      <alignment horizontal="right"/>
    </xf>
    <xf numFmtId="4" fontId="6" fillId="28" borderId="5" xfId="0" applyNumberFormat="1" applyFont="1" applyFill="1" applyBorder="1" applyAlignment="1">
      <alignment horizontal="right"/>
    </xf>
    <xf numFmtId="2" fontId="3" fillId="28" borderId="1" xfId="6" applyNumberFormat="1" applyFont="1" applyFill="1" applyBorder="1" applyAlignment="1">
      <alignment horizontal="center" vertical="center"/>
    </xf>
    <xf numFmtId="2" fontId="6" fillId="0" borderId="0" xfId="0" applyNumberFormat="1" applyFont="1" applyFill="1" applyAlignment="1"/>
    <xf numFmtId="4" fontId="7" fillId="28" borderId="1" xfId="0" applyNumberFormat="1" applyFont="1" applyFill="1" applyBorder="1" applyAlignment="1">
      <alignment horizontal="right"/>
    </xf>
    <xf numFmtId="4" fontId="57" fillId="0" borderId="0" xfId="0" applyNumberFormat="1" applyFont="1" applyFill="1" applyAlignment="1"/>
    <xf numFmtId="0" fontId="2" fillId="28" borderId="0" xfId="1" applyFill="1" applyAlignment="1"/>
    <xf numFmtId="0" fontId="30" fillId="0" borderId="0" xfId="1" applyFont="1" applyFill="1" applyBorder="1" applyAlignment="1">
      <alignment horizontal="center" vertical="top" wrapText="1"/>
    </xf>
    <xf numFmtId="4" fontId="30" fillId="0" borderId="0" xfId="1" applyNumberFormat="1" applyFont="1" applyFill="1" applyBorder="1" applyAlignment="1">
      <alignment horizontal="center"/>
    </xf>
    <xf numFmtId="4" fontId="12" fillId="5" borderId="1" xfId="1" applyNumberFormat="1" applyFont="1" applyFill="1" applyBorder="1"/>
    <xf numFmtId="4" fontId="12" fillId="5" borderId="4" xfId="1" applyNumberFormat="1" applyFont="1" applyFill="1" applyBorder="1"/>
    <xf numFmtId="4" fontId="53" fillId="5" borderId="4" xfId="1" applyNumberFormat="1" applyFont="1" applyFill="1" applyBorder="1"/>
    <xf numFmtId="4" fontId="12" fillId="0" borderId="56" xfId="1" applyNumberFormat="1" applyFont="1" applyFill="1" applyBorder="1"/>
    <xf numFmtId="4" fontId="12" fillId="0" borderId="24" xfId="1" applyNumberFormat="1" applyFont="1" applyBorder="1"/>
    <xf numFmtId="4" fontId="12" fillId="13" borderId="24" xfId="1" applyNumberFormat="1" applyFont="1" applyFill="1" applyBorder="1"/>
    <xf numFmtId="4" fontId="12" fillId="0" borderId="1" xfId="1" applyNumberFormat="1" applyFont="1" applyBorder="1"/>
    <xf numFmtId="4" fontId="12" fillId="9" borderId="1" xfId="1" applyNumberFormat="1" applyFont="1" applyFill="1" applyBorder="1"/>
    <xf numFmtId="4" fontId="12" fillId="0" borderId="4" xfId="1" applyNumberFormat="1" applyFont="1" applyBorder="1"/>
    <xf numFmtId="4" fontId="12" fillId="0" borderId="15" xfId="1" applyNumberFormat="1" applyFont="1" applyBorder="1"/>
    <xf numFmtId="0" fontId="2" fillId="13" borderId="75" xfId="1" applyFill="1" applyBorder="1"/>
    <xf numFmtId="4" fontId="53" fillId="9" borderId="1" xfId="1" applyNumberFormat="1" applyFont="1" applyFill="1" applyBorder="1"/>
    <xf numFmtId="4" fontId="53" fillId="13" borderId="22" xfId="1" applyNumberFormat="1" applyFont="1" applyFill="1" applyBorder="1"/>
    <xf numFmtId="4" fontId="12" fillId="13" borderId="12" xfId="1" applyNumberFormat="1" applyFont="1" applyFill="1" applyBorder="1"/>
    <xf numFmtId="2" fontId="14" fillId="0" borderId="0" xfId="1" applyNumberFormat="1" applyFont="1" applyFill="1" applyBorder="1"/>
    <xf numFmtId="0" fontId="2" fillId="0" borderId="1" xfId="1" applyBorder="1" applyAlignment="1">
      <alignment horizontal="center"/>
    </xf>
    <xf numFmtId="0" fontId="2" fillId="0" borderId="4" xfId="1" applyBorder="1" applyAlignment="1">
      <alignment horizontal="center"/>
    </xf>
    <xf numFmtId="0" fontId="2" fillId="0" borderId="1" xfId="1" applyFill="1" applyBorder="1" applyAlignment="1">
      <alignment horizontal="center"/>
    </xf>
    <xf numFmtId="0" fontId="59" fillId="11" borderId="4" xfId="1" applyFont="1" applyFill="1" applyBorder="1" applyAlignment="1">
      <alignment wrapText="1"/>
    </xf>
    <xf numFmtId="164" fontId="8" fillId="11" borderId="1" xfId="1" applyNumberFormat="1" applyFont="1" applyFill="1" applyBorder="1" applyAlignment="1"/>
    <xf numFmtId="171" fontId="8" fillId="11" borderId="4" xfId="1" applyNumberFormat="1" applyFont="1" applyFill="1" applyBorder="1" applyAlignment="1"/>
    <xf numFmtId="4" fontId="54" fillId="11" borderId="1" xfId="1" applyNumberFormat="1" applyFont="1" applyFill="1" applyBorder="1" applyAlignment="1">
      <alignment wrapText="1"/>
    </xf>
    <xf numFmtId="164" fontId="2" fillId="0" borderId="0" xfId="1" applyNumberFormat="1" applyFill="1" applyBorder="1"/>
    <xf numFmtId="0" fontId="59" fillId="32" borderId="4" xfId="1" applyFont="1" applyFill="1" applyBorder="1" applyAlignment="1">
      <alignment wrapText="1"/>
    </xf>
    <xf numFmtId="164" fontId="8" fillId="32" borderId="1" xfId="1" applyNumberFormat="1" applyFont="1" applyFill="1" applyBorder="1" applyAlignment="1"/>
    <xf numFmtId="171" fontId="8" fillId="32" borderId="4" xfId="1" applyNumberFormat="1" applyFont="1" applyFill="1" applyBorder="1" applyAlignment="1"/>
    <xf numFmtId="164" fontId="2" fillId="28" borderId="0" xfId="1" applyNumberFormat="1" applyFill="1"/>
    <xf numFmtId="0" fontId="59" fillId="33" borderId="4" xfId="1" applyFont="1" applyFill="1" applyBorder="1" applyAlignment="1">
      <alignment wrapText="1"/>
    </xf>
    <xf numFmtId="164" fontId="8" fillId="33" borderId="1" xfId="1" applyNumberFormat="1" applyFont="1" applyFill="1" applyBorder="1" applyAlignment="1"/>
    <xf numFmtId="171" fontId="8" fillId="33" borderId="4" xfId="1" applyNumberFormat="1" applyFont="1" applyFill="1" applyBorder="1" applyAlignment="1"/>
    <xf numFmtId="0" fontId="59" fillId="14" borderId="4" xfId="1" applyFont="1" applyFill="1" applyBorder="1" applyAlignment="1">
      <alignment wrapText="1"/>
    </xf>
    <xf numFmtId="164" fontId="8" fillId="14" borderId="1" xfId="1" applyNumberFormat="1" applyFont="1" applyFill="1" applyBorder="1" applyAlignment="1"/>
    <xf numFmtId="171" fontId="8" fillId="14" borderId="4" xfId="1" applyNumberFormat="1" applyFont="1" applyFill="1" applyBorder="1" applyAlignment="1"/>
    <xf numFmtId="0" fontId="59" fillId="12" borderId="4" xfId="1" applyFont="1" applyFill="1" applyBorder="1" applyAlignment="1">
      <alignment wrapText="1"/>
    </xf>
    <xf numFmtId="164" fontId="8" fillId="12" borderId="1" xfId="1" applyNumberFormat="1" applyFont="1" applyFill="1" applyBorder="1" applyAlignment="1"/>
    <xf numFmtId="171" fontId="8" fillId="12" borderId="4" xfId="1" applyNumberFormat="1" applyFont="1" applyFill="1" applyBorder="1" applyAlignment="1"/>
    <xf numFmtId="0" fontId="41" fillId="0" borderId="4" xfId="1" applyFont="1" applyBorder="1" applyAlignment="1">
      <alignment vertical="top" wrapText="1"/>
    </xf>
    <xf numFmtId="164" fontId="12" fillId="0" borderId="1" xfId="1" applyNumberFormat="1" applyFont="1" applyBorder="1" applyAlignment="1"/>
    <xf numFmtId="4" fontId="2" fillId="0" borderId="0" xfId="1" applyNumberFormat="1" applyFill="1" applyBorder="1"/>
    <xf numFmtId="164" fontId="2" fillId="0" borderId="0" xfId="1" applyNumberFormat="1"/>
    <xf numFmtId="4" fontId="47" fillId="28" borderId="1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right" vertical="top" wrapText="1"/>
    </xf>
    <xf numFmtId="0" fontId="17" fillId="0" borderId="0" xfId="0" applyFont="1" applyAlignment="1">
      <alignment horizontal="left" vertical="top" wrapText="1"/>
    </xf>
    <xf numFmtId="0" fontId="47" fillId="0" borderId="17" xfId="0" applyFont="1" applyFill="1" applyBorder="1" applyAlignment="1">
      <alignment horizontal="center" vertical="top" wrapText="1"/>
    </xf>
    <xf numFmtId="0" fontId="47" fillId="0" borderId="1" xfId="0" applyFont="1" applyFill="1" applyBorder="1" applyAlignment="1">
      <alignment horizontal="center" vertical="top" wrapText="1"/>
    </xf>
    <xf numFmtId="0" fontId="47" fillId="0" borderId="5" xfId="0" applyFont="1" applyFill="1" applyBorder="1" applyAlignment="1">
      <alignment horizontal="center" vertical="top" wrapText="1"/>
    </xf>
    <xf numFmtId="0" fontId="47" fillId="0" borderId="8" xfId="0" applyFont="1" applyFill="1" applyBorder="1" applyAlignment="1">
      <alignment horizontal="center" vertical="top" wrapText="1"/>
    </xf>
    <xf numFmtId="0" fontId="2" fillId="0" borderId="0" xfId="1" applyFont="1" applyAlignment="1">
      <alignment horizontal="center" wrapText="1"/>
    </xf>
    <xf numFmtId="0" fontId="47" fillId="0" borderId="8" xfId="0" applyFont="1" applyFill="1" applyBorder="1" applyAlignment="1">
      <alignment horizontal="center" vertical="top" wrapText="1"/>
    </xf>
    <xf numFmtId="0" fontId="47" fillId="0" borderId="17" xfId="0" applyFont="1" applyFill="1" applyBorder="1" applyAlignment="1">
      <alignment horizontal="center" vertical="top" wrapText="1"/>
    </xf>
    <xf numFmtId="0" fontId="47" fillId="0" borderId="1" xfId="0" applyFont="1" applyFill="1" applyBorder="1" applyAlignment="1">
      <alignment horizontal="center" vertical="top" wrapText="1"/>
    </xf>
    <xf numFmtId="166" fontId="6" fillId="0" borderId="29" xfId="0" applyNumberFormat="1" applyFont="1" applyFill="1" applyBorder="1" applyAlignment="1">
      <alignment horizontal="center" textRotation="255" wrapText="1"/>
    </xf>
    <xf numFmtId="0" fontId="2" fillId="28" borderId="0" xfId="1" applyFill="1"/>
    <xf numFmtId="0" fontId="2" fillId="27" borderId="0" xfId="1" applyFill="1" applyBorder="1"/>
    <xf numFmtId="0" fontId="2" fillId="28" borderId="0" xfId="1" applyFill="1" applyBorder="1"/>
    <xf numFmtId="10" fontId="34" fillId="27" borderId="0" xfId="1" applyNumberFormat="1" applyFont="1" applyFill="1" applyBorder="1" applyAlignment="1">
      <alignment horizontal="center" vertical="center" wrapText="1"/>
    </xf>
    <xf numFmtId="0" fontId="34" fillId="28" borderId="0" xfId="1" applyFont="1" applyFill="1" applyBorder="1" applyAlignment="1">
      <alignment horizontal="center" vertical="center" wrapText="1"/>
    </xf>
    <xf numFmtId="0" fontId="34" fillId="28" borderId="1" xfId="1" applyFont="1" applyFill="1" applyBorder="1" applyAlignment="1">
      <alignment horizontal="center" vertical="center" wrapText="1"/>
    </xf>
    <xf numFmtId="0" fontId="34" fillId="0" borderId="1" xfId="1" applyFont="1" applyFill="1" applyBorder="1" applyAlignment="1">
      <alignment horizontal="center" vertical="center" wrapText="1"/>
    </xf>
    <xf numFmtId="2" fontId="3" fillId="0" borderId="0" xfId="6" applyNumberFormat="1" applyFont="1" applyFill="1" applyBorder="1" applyAlignment="1">
      <alignment horizontal="center" vertical="center"/>
    </xf>
    <xf numFmtId="2" fontId="3" fillId="28" borderId="0" xfId="6" applyNumberFormat="1" applyFont="1" applyFill="1" applyBorder="1" applyAlignment="1">
      <alignment horizontal="center" vertical="center"/>
    </xf>
    <xf numFmtId="2" fontId="3" fillId="0" borderId="1" xfId="1" applyNumberFormat="1" applyFont="1" applyFill="1" applyBorder="1" applyAlignment="1">
      <alignment horizontal="center" vertical="center"/>
    </xf>
    <xf numFmtId="2" fontId="3" fillId="12" borderId="1" xfId="6" applyNumberFormat="1" applyFont="1" applyFill="1" applyBorder="1" applyAlignment="1">
      <alignment horizontal="center" vertical="center"/>
    </xf>
    <xf numFmtId="2" fontId="3" fillId="12" borderId="1" xfId="1" applyNumberFormat="1" applyFont="1" applyFill="1" applyBorder="1" applyAlignment="1">
      <alignment horizontal="center" vertical="center"/>
    </xf>
    <xf numFmtId="2" fontId="3" fillId="13" borderId="1" xfId="6" applyNumberFormat="1" applyFont="1" applyFill="1" applyBorder="1" applyAlignment="1">
      <alignment horizontal="center" vertical="center"/>
    </xf>
    <xf numFmtId="2" fontId="3" fillId="13" borderId="1" xfId="1" applyNumberFormat="1" applyFont="1" applyFill="1" applyBorder="1" applyAlignment="1">
      <alignment horizontal="center" vertical="center"/>
    </xf>
    <xf numFmtId="4" fontId="30" fillId="0" borderId="0" xfId="6" applyNumberFormat="1" applyFont="1" applyFill="1" applyBorder="1" applyAlignment="1">
      <alignment horizontal="center" vertical="center"/>
    </xf>
    <xf numFmtId="4" fontId="30" fillId="28" borderId="0" xfId="6" applyNumberFormat="1" applyFont="1" applyFill="1" applyBorder="1" applyAlignment="1">
      <alignment horizontal="center" vertical="center"/>
    </xf>
    <xf numFmtId="4" fontId="30" fillId="11" borderId="1" xfId="6" applyNumberFormat="1" applyFont="1" applyFill="1" applyBorder="1" applyAlignment="1">
      <alignment horizontal="center" vertical="center"/>
    </xf>
    <xf numFmtId="4" fontId="40" fillId="0" borderId="0" xfId="1" applyNumberFormat="1" applyFont="1" applyBorder="1"/>
    <xf numFmtId="4" fontId="32" fillId="22" borderId="0" xfId="6" applyNumberFormat="1" applyFont="1" applyFill="1" applyBorder="1" applyAlignment="1">
      <alignment horizontal="center" vertical="center"/>
    </xf>
    <xf numFmtId="4" fontId="30" fillId="13" borderId="1" xfId="6" applyNumberFormat="1" applyFont="1" applyFill="1" applyBorder="1" applyAlignment="1">
      <alignment horizontal="center" vertical="center"/>
    </xf>
    <xf numFmtId="4" fontId="32" fillId="23" borderId="0" xfId="6" applyNumberFormat="1" applyFont="1" applyFill="1" applyBorder="1" applyAlignment="1">
      <alignment horizontal="center" vertical="center"/>
    </xf>
    <xf numFmtId="4" fontId="30" fillId="12" borderId="1" xfId="6" applyNumberFormat="1" applyFont="1" applyFill="1" applyBorder="1" applyAlignment="1">
      <alignment horizontal="center" vertical="center"/>
    </xf>
    <xf numFmtId="10" fontId="2" fillId="0" borderId="0" xfId="1" applyNumberFormat="1" applyAlignment="1">
      <alignment horizontal="center"/>
    </xf>
    <xf numFmtId="4" fontId="2" fillId="28" borderId="6" xfId="6" applyNumberFormat="1" applyFont="1" applyFill="1" applyBorder="1"/>
    <xf numFmtId="10" fontId="32" fillId="0" borderId="0" xfId="1" applyNumberFormat="1" applyFont="1" applyFill="1" applyBorder="1" applyAlignment="1">
      <alignment horizontal="center" vertical="center"/>
    </xf>
    <xf numFmtId="4" fontId="2" fillId="0" borderId="59" xfId="1" applyNumberFormat="1" applyBorder="1"/>
    <xf numFmtId="4" fontId="3" fillId="22" borderId="0" xfId="1" applyNumberFormat="1" applyFont="1" applyFill="1" applyBorder="1"/>
    <xf numFmtId="0" fontId="0" fillId="0" borderId="0" xfId="6" applyFont="1" applyFill="1" applyBorder="1" applyAlignment="1">
      <alignment horizontal="center"/>
    </xf>
    <xf numFmtId="4" fontId="3" fillId="28" borderId="0" xfId="1" applyNumberFormat="1" applyFont="1" applyFill="1" applyBorder="1"/>
    <xf numFmtId="4" fontId="13" fillId="0" borderId="1" xfId="1" applyNumberFormat="1" applyFont="1" applyFill="1" applyBorder="1" applyAlignment="1">
      <alignment horizontal="right"/>
    </xf>
    <xf numFmtId="4" fontId="3" fillId="0" borderId="1" xfId="1" applyNumberFormat="1" applyFont="1" applyFill="1" applyBorder="1"/>
    <xf numFmtId="4" fontId="3" fillId="23" borderId="0" xfId="1" applyNumberFormat="1" applyFont="1" applyFill="1" applyBorder="1"/>
    <xf numFmtId="0" fontId="0" fillId="0" borderId="0" xfId="6" applyFont="1" applyFill="1"/>
    <xf numFmtId="4" fontId="3" fillId="0" borderId="1" xfId="1" applyNumberFormat="1" applyFont="1" applyFill="1" applyBorder="1" applyAlignment="1">
      <alignment horizontal="right"/>
    </xf>
    <xf numFmtId="0" fontId="2" fillId="28" borderId="1" xfId="1" applyFill="1" applyBorder="1"/>
    <xf numFmtId="0" fontId="2" fillId="0" borderId="1" xfId="1" applyFill="1" applyBorder="1"/>
    <xf numFmtId="4" fontId="2" fillId="28" borderId="1" xfId="1" applyNumberFormat="1" applyFill="1" applyBorder="1"/>
    <xf numFmtId="4" fontId="2" fillId="0" borderId="1" xfId="1" applyNumberFormat="1" applyFill="1" applyBorder="1"/>
    <xf numFmtId="4" fontId="2" fillId="0" borderId="1" xfId="1" applyNumberFormat="1" applyBorder="1"/>
    <xf numFmtId="168" fontId="14" fillId="0" borderId="0" xfId="1" applyNumberFormat="1" applyFont="1" applyBorder="1"/>
    <xf numFmtId="168" fontId="2" fillId="28" borderId="1" xfId="1" applyNumberFormat="1" applyFont="1" applyFill="1" applyBorder="1"/>
    <xf numFmtId="4" fontId="14" fillId="28" borderId="1" xfId="1" applyNumberFormat="1" applyFont="1" applyFill="1" applyBorder="1"/>
    <xf numFmtId="2" fontId="30" fillId="22" borderId="42" xfId="1" applyNumberFormat="1" applyFont="1" applyFill="1" applyBorder="1" applyAlignment="1">
      <alignment horizontal="right"/>
    </xf>
    <xf numFmtId="2" fontId="30" fillId="22" borderId="27" xfId="1" applyNumberFormat="1" applyFont="1" applyFill="1" applyBorder="1" applyAlignment="1">
      <alignment horizontal="right"/>
    </xf>
    <xf numFmtId="0" fontId="30" fillId="28" borderId="1" xfId="1" applyFont="1" applyFill="1" applyBorder="1" applyAlignment="1">
      <alignment horizontal="right"/>
    </xf>
    <xf numFmtId="4" fontId="18" fillId="28" borderId="1" xfId="1" applyNumberFormat="1" applyFont="1" applyFill="1" applyBorder="1" applyAlignment="1">
      <alignment horizontal="right"/>
    </xf>
    <xf numFmtId="164" fontId="30" fillId="0" borderId="1" xfId="1" applyNumberFormat="1" applyFont="1" applyFill="1" applyBorder="1" applyAlignment="1">
      <alignment horizontal="right"/>
    </xf>
    <xf numFmtId="4" fontId="30" fillId="23" borderId="42" xfId="1" applyNumberFormat="1" applyFont="1" applyFill="1" applyBorder="1" applyAlignment="1">
      <alignment horizontal="right"/>
    </xf>
    <xf numFmtId="2" fontId="30" fillId="34" borderId="42" xfId="1" applyNumberFormat="1" applyFont="1" applyFill="1" applyBorder="1" applyAlignment="1">
      <alignment horizontal="right"/>
    </xf>
    <xf numFmtId="2" fontId="30" fillId="23" borderId="42" xfId="1" applyNumberFormat="1" applyFont="1" applyFill="1" applyBorder="1" applyAlignment="1">
      <alignment horizontal="right"/>
    </xf>
    <xf numFmtId="2" fontId="30" fillId="23" borderId="0" xfId="1" applyNumberFormat="1" applyFont="1" applyFill="1" applyBorder="1" applyAlignment="1">
      <alignment horizontal="right"/>
    </xf>
    <xf numFmtId="0" fontId="30" fillId="28" borderId="0" xfId="1" applyFont="1" applyFill="1" applyBorder="1" applyAlignment="1">
      <alignment horizontal="right"/>
    </xf>
    <xf numFmtId="4" fontId="12" fillId="31" borderId="1" xfId="1" applyNumberFormat="1" applyFont="1" applyFill="1" applyBorder="1"/>
    <xf numFmtId="4" fontId="12" fillId="30" borderId="12" xfId="1" applyNumberFormat="1" applyFont="1" applyFill="1" applyBorder="1"/>
    <xf numFmtId="0" fontId="59" fillId="35" borderId="4" xfId="1" applyFont="1" applyFill="1" applyBorder="1" applyAlignment="1">
      <alignment wrapText="1"/>
    </xf>
    <xf numFmtId="164" fontId="8" fillId="35" borderId="1" xfId="1" applyNumberFormat="1" applyFont="1" applyFill="1" applyBorder="1" applyAlignment="1"/>
    <xf numFmtId="171" fontId="8" fillId="35" borderId="4" xfId="1" applyNumberFormat="1" applyFont="1" applyFill="1" applyBorder="1" applyAlignment="1"/>
    <xf numFmtId="0" fontId="59" fillId="31" borderId="4" xfId="1" applyFont="1" applyFill="1" applyBorder="1" applyAlignment="1">
      <alignment wrapText="1"/>
    </xf>
    <xf numFmtId="164" fontId="8" fillId="31" borderId="1" xfId="1" applyNumberFormat="1" applyFont="1" applyFill="1" applyBorder="1" applyAlignment="1"/>
    <xf numFmtId="171" fontId="8" fillId="31" borderId="4" xfId="1" applyNumberFormat="1" applyFont="1" applyFill="1" applyBorder="1" applyAlignment="1"/>
    <xf numFmtId="164" fontId="12" fillId="0" borderId="58" xfId="1" applyNumberFormat="1" applyFont="1" applyFill="1" applyBorder="1" applyAlignment="1"/>
    <xf numFmtId="0" fontId="60" fillId="0" borderId="0" xfId="0" applyFont="1"/>
    <xf numFmtId="0" fontId="60" fillId="0" borderId="0" xfId="0" applyFont="1" applyAlignment="1">
      <alignment horizontal="right"/>
    </xf>
    <xf numFmtId="0" fontId="60" fillId="0" borderId="0" xfId="0" applyFont="1" applyAlignment="1">
      <alignment horizontal="right" wrapText="1"/>
    </xf>
    <xf numFmtId="0" fontId="61" fillId="0" borderId="0" xfId="0" applyFont="1" applyAlignment="1">
      <alignment horizontal="center"/>
    </xf>
    <xf numFmtId="0" fontId="0" fillId="0" borderId="0" xfId="0" applyFill="1" applyAlignment="1"/>
    <xf numFmtId="0" fontId="63" fillId="0" borderId="0" xfId="0" applyFont="1" applyBorder="1"/>
    <xf numFmtId="0" fontId="63" fillId="0" borderId="0" xfId="0" applyFont="1"/>
    <xf numFmtId="4" fontId="60" fillId="0" borderId="1" xfId="0" applyNumberFormat="1" applyFont="1" applyBorder="1" applyAlignment="1">
      <alignment horizontal="center" vertical="center" wrapText="1"/>
    </xf>
    <xf numFmtId="49" fontId="64" fillId="0" borderId="58" xfId="0" applyNumberFormat="1" applyFont="1" applyBorder="1" applyAlignment="1">
      <alignment horizontal="center" vertical="center" wrapText="1"/>
    </xf>
    <xf numFmtId="0" fontId="60" fillId="0" borderId="1" xfId="0" applyFont="1" applyBorder="1" applyAlignment="1">
      <alignment horizontal="center" vertical="center"/>
    </xf>
    <xf numFmtId="0" fontId="60" fillId="0" borderId="1" xfId="0" applyFont="1" applyBorder="1" applyAlignment="1">
      <alignment horizontal="left" vertical="center" wrapText="1"/>
    </xf>
    <xf numFmtId="4" fontId="63" fillId="0" borderId="0" xfId="0" applyNumberFormat="1" applyFont="1" applyBorder="1"/>
    <xf numFmtId="4" fontId="60" fillId="0" borderId="0" xfId="16" applyNumberFormat="1" applyFont="1" applyFill="1" applyBorder="1" applyAlignment="1">
      <alignment horizontal="center" vertical="center"/>
    </xf>
    <xf numFmtId="4" fontId="60" fillId="0" borderId="1" xfId="16" applyNumberFormat="1" applyFont="1" applyFill="1" applyBorder="1" applyAlignment="1">
      <alignment horizontal="center" vertical="center"/>
    </xf>
    <xf numFmtId="4" fontId="65" fillId="0" borderId="1" xfId="0" applyNumberFormat="1" applyFont="1" applyBorder="1" applyAlignment="1">
      <alignment horizontal="center" vertical="center"/>
    </xf>
    <xf numFmtId="0" fontId="60" fillId="0" borderId="12" xfId="0" applyFont="1" applyBorder="1" applyAlignment="1">
      <alignment horizontal="center" vertical="center"/>
    </xf>
    <xf numFmtId="4" fontId="60" fillId="0" borderId="12" xfId="0" applyNumberFormat="1" applyFont="1" applyBorder="1" applyAlignment="1">
      <alignment horizontal="center" vertical="center" wrapText="1"/>
    </xf>
    <xf numFmtId="174" fontId="60" fillId="0" borderId="0" xfId="0" applyNumberFormat="1" applyFont="1" applyBorder="1" applyAlignment="1">
      <alignment horizontal="center" vertical="center" wrapText="1"/>
    </xf>
    <xf numFmtId="4" fontId="49" fillId="0" borderId="4" xfId="0" applyNumberFormat="1" applyFont="1" applyBorder="1" applyAlignment="1">
      <alignment horizontal="center" vertical="center" wrapText="1"/>
    </xf>
    <xf numFmtId="4" fontId="49" fillId="0" borderId="1" xfId="0" applyNumberFormat="1" applyFont="1" applyBorder="1" applyAlignment="1">
      <alignment horizontal="center" vertical="center" wrapText="1"/>
    </xf>
    <xf numFmtId="4" fontId="49" fillId="0" borderId="1" xfId="16" applyNumberFormat="1" applyFont="1" applyFill="1" applyBorder="1" applyAlignment="1">
      <alignment horizontal="center" vertical="center"/>
    </xf>
    <xf numFmtId="175" fontId="60" fillId="0" borderId="0" xfId="16" applyNumberFormat="1" applyFont="1" applyFill="1" applyBorder="1" applyAlignment="1">
      <alignment horizontal="center" vertical="center"/>
    </xf>
    <xf numFmtId="4" fontId="60" fillId="0" borderId="0" xfId="0" applyNumberFormat="1" applyFont="1"/>
    <xf numFmtId="4" fontId="63" fillId="0" borderId="0" xfId="0" applyNumberFormat="1" applyFont="1"/>
    <xf numFmtId="4" fontId="60" fillId="0" borderId="0" xfId="0" applyNumberFormat="1" applyFont="1" applyAlignment="1">
      <alignment horizontal="left"/>
    </xf>
    <xf numFmtId="4" fontId="66" fillId="0" borderId="0" xfId="0" applyNumberFormat="1" applyFont="1" applyAlignment="1">
      <alignment horizontal="center"/>
    </xf>
    <xf numFmtId="4" fontId="65" fillId="0" borderId="0" xfId="0" applyNumberFormat="1" applyFont="1"/>
    <xf numFmtId="4" fontId="60" fillId="0" borderId="0" xfId="0" applyNumberFormat="1" applyFont="1" applyFill="1" applyBorder="1" applyAlignment="1">
      <alignment horizontal="left"/>
    </xf>
    <xf numFmtId="0" fontId="60" fillId="0" borderId="0" xfId="0" applyFont="1" applyAlignment="1">
      <alignment horizontal="center" vertical="top" wrapText="1"/>
    </xf>
    <xf numFmtId="4" fontId="60" fillId="0" borderId="0" xfId="0" applyNumberFormat="1" applyFont="1" applyAlignment="1">
      <alignment horizontal="center" vertical="top" wrapText="1"/>
    </xf>
    <xf numFmtId="0" fontId="61" fillId="0" borderId="0" xfId="0" applyFont="1"/>
    <xf numFmtId="0" fontId="17" fillId="0" borderId="0" xfId="0" applyFont="1" applyFill="1" applyAlignment="1">
      <alignment horizontal="right"/>
    </xf>
    <xf numFmtId="0" fontId="61" fillId="0" borderId="0" xfId="0" applyFont="1" applyAlignment="1"/>
    <xf numFmtId="0" fontId="61" fillId="0" borderId="0" xfId="0" applyFont="1" applyAlignment="1">
      <alignment horizontal="right"/>
    </xf>
    <xf numFmtId="0" fontId="50" fillId="0" borderId="0" xfId="0" applyFont="1"/>
    <xf numFmtId="0" fontId="50" fillId="0" borderId="0" xfId="0" applyFont="1" applyAlignment="1">
      <alignment horizontal="right" vertical="top" wrapText="1"/>
    </xf>
    <xf numFmtId="0" fontId="68" fillId="9" borderId="1" xfId="0" applyFont="1" applyFill="1" applyBorder="1" applyAlignment="1">
      <alignment horizontal="center" vertical="center" wrapText="1"/>
    </xf>
    <xf numFmtId="0" fontId="68" fillId="0" borderId="1" xfId="0" applyFont="1" applyBorder="1" applyAlignment="1">
      <alignment horizontal="center" vertical="center" wrapText="1"/>
    </xf>
    <xf numFmtId="0" fontId="51" fillId="9" borderId="12" xfId="0" applyFont="1" applyFill="1" applyBorder="1" applyAlignment="1">
      <alignment horizontal="center" vertical="center" wrapText="1"/>
    </xf>
    <xf numFmtId="0" fontId="51" fillId="9" borderId="12" xfId="0" applyFont="1" applyFill="1" applyBorder="1" applyAlignment="1">
      <alignment horizontal="left" vertical="center" wrapText="1"/>
    </xf>
    <xf numFmtId="4" fontId="17" fillId="9" borderId="1" xfId="0" applyNumberFormat="1" applyFont="1" applyFill="1" applyBorder="1" applyAlignment="1">
      <alignment horizontal="center" vertical="center" wrapText="1"/>
    </xf>
    <xf numFmtId="0" fontId="51" fillId="9" borderId="1" xfId="0" applyFont="1" applyFill="1" applyBorder="1" applyAlignment="1">
      <alignment horizontal="center" vertical="center" wrapText="1"/>
    </xf>
    <xf numFmtId="0" fontId="51" fillId="9" borderId="1" xfId="0" applyFont="1" applyFill="1" applyBorder="1" applyAlignment="1">
      <alignment horizontal="left" vertical="center" wrapText="1"/>
    </xf>
    <xf numFmtId="0" fontId="18" fillId="9" borderId="1" xfId="0" applyFont="1" applyFill="1" applyBorder="1" applyAlignment="1">
      <alignment horizontal="center" vertical="center" wrapText="1"/>
    </xf>
    <xf numFmtId="4" fontId="17" fillId="0" borderId="25" xfId="0" applyNumberFormat="1" applyFont="1" applyBorder="1" applyAlignment="1">
      <alignment horizontal="center" vertical="center"/>
    </xf>
    <xf numFmtId="0" fontId="51" fillId="0" borderId="4" xfId="0" applyFont="1" applyFill="1" applyBorder="1" applyAlignment="1">
      <alignment horizontal="left" vertical="center" wrapText="1"/>
    </xf>
    <xf numFmtId="4" fontId="17" fillId="0" borderId="1" xfId="0" applyNumberFormat="1" applyFont="1" applyFill="1" applyBorder="1" applyAlignment="1">
      <alignment horizontal="center" vertical="center"/>
    </xf>
    <xf numFmtId="0" fontId="18" fillId="0" borderId="0" xfId="0" applyFont="1"/>
    <xf numFmtId="0" fontId="17" fillId="0" borderId="0" xfId="0" applyFont="1" applyAlignment="1">
      <alignment horizontal="right" indent="5"/>
    </xf>
    <xf numFmtId="0" fontId="69" fillId="0" borderId="0" xfId="0" applyFont="1"/>
    <xf numFmtId="0" fontId="50" fillId="0" borderId="0" xfId="0" applyFont="1" applyAlignment="1">
      <alignment horizontal="right"/>
    </xf>
    <xf numFmtId="0" fontId="26" fillId="0" borderId="0" xfId="0" applyFont="1" applyFill="1"/>
    <xf numFmtId="49" fontId="0" fillId="0" borderId="25" xfId="0" applyNumberFormat="1" applyFon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/>
    </xf>
    <xf numFmtId="49" fontId="26" fillId="0" borderId="25" xfId="0" applyNumberFormat="1" applyFont="1" applyFill="1" applyBorder="1" applyAlignment="1">
      <alignment horizontal="center" wrapText="1"/>
    </xf>
    <xf numFmtId="49" fontId="26" fillId="0" borderId="7" xfId="0" applyNumberFormat="1" applyFont="1" applyFill="1" applyBorder="1" applyAlignment="1">
      <alignment horizontal="center" vertical="center"/>
    </xf>
    <xf numFmtId="49" fontId="26" fillId="0" borderId="25" xfId="0" applyNumberFormat="1" applyFont="1" applyFill="1" applyBorder="1" applyAlignment="1">
      <alignment horizontal="center" vertical="center"/>
    </xf>
    <xf numFmtId="49" fontId="26" fillId="0" borderId="55" xfId="0" applyNumberFormat="1" applyFont="1" applyFill="1" applyBorder="1" applyAlignment="1">
      <alignment horizontal="center" vertical="center"/>
    </xf>
    <xf numFmtId="49" fontId="26" fillId="0" borderId="26" xfId="0" applyNumberFormat="1" applyFont="1" applyFill="1" applyBorder="1" applyAlignment="1">
      <alignment horizontal="center" wrapText="1"/>
    </xf>
    <xf numFmtId="49" fontId="26" fillId="0" borderId="0" xfId="0" applyNumberFormat="1" applyFont="1" applyFill="1" applyBorder="1" applyAlignment="1">
      <alignment horizontal="center"/>
    </xf>
    <xf numFmtId="49" fontId="26" fillId="0" borderId="26" xfId="0" applyNumberFormat="1" applyFont="1" applyFill="1" applyBorder="1" applyAlignment="1">
      <alignment horizontal="center"/>
    </xf>
    <xf numFmtId="0" fontId="26" fillId="0" borderId="0" xfId="0" applyNumberFormat="1" applyFont="1" applyFill="1" applyBorder="1" applyAlignment="1">
      <alignment horizontal="center"/>
    </xf>
    <xf numFmtId="0" fontId="26" fillId="0" borderId="26" xfId="0" applyNumberFormat="1" applyFont="1" applyFill="1" applyBorder="1" applyAlignment="1">
      <alignment horizontal="center"/>
    </xf>
    <xf numFmtId="4" fontId="26" fillId="0" borderId="0" xfId="0" applyNumberFormat="1" applyFont="1" applyFill="1" applyBorder="1" applyAlignment="1">
      <alignment horizontal="center"/>
    </xf>
    <xf numFmtId="4" fontId="26" fillId="0" borderId="26" xfId="0" applyNumberFormat="1" applyFont="1" applyFill="1" applyBorder="1" applyAlignment="1">
      <alignment horizontal="center"/>
    </xf>
    <xf numFmtId="4" fontId="26" fillId="0" borderId="76" xfId="0" applyNumberFormat="1" applyFont="1" applyFill="1" applyBorder="1" applyAlignment="1">
      <alignment horizontal="center"/>
    </xf>
    <xf numFmtId="49" fontId="21" fillId="0" borderId="26" xfId="0" applyNumberFormat="1" applyFont="1" applyFill="1" applyBorder="1" applyAlignment="1">
      <alignment horizontal="center" wrapText="1"/>
    </xf>
    <xf numFmtId="4" fontId="21" fillId="0" borderId="76" xfId="0" applyNumberFormat="1" applyFont="1" applyFill="1" applyBorder="1" applyAlignment="1">
      <alignment horizontal="center"/>
    </xf>
    <xf numFmtId="4" fontId="72" fillId="0" borderId="0" xfId="0" applyNumberFormat="1" applyFont="1"/>
    <xf numFmtId="4" fontId="73" fillId="0" borderId="0" xfId="0" applyNumberFormat="1" applyFont="1"/>
    <xf numFmtId="0" fontId="74" fillId="0" borderId="0" xfId="0" applyFont="1"/>
    <xf numFmtId="49" fontId="26" fillId="0" borderId="4" xfId="0" applyNumberFormat="1" applyFont="1" applyFill="1" applyBorder="1" applyAlignment="1">
      <alignment horizontal="center"/>
    </xf>
    <xf numFmtId="4" fontId="21" fillId="0" borderId="6" xfId="0" applyNumberFormat="1" applyFont="1" applyFill="1" applyBorder="1" applyAlignment="1">
      <alignment horizontal="center"/>
    </xf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vertical="center" wrapText="1"/>
    </xf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left"/>
    </xf>
    <xf numFmtId="0" fontId="17" fillId="0" borderId="0" xfId="0" applyFont="1" applyFill="1" applyAlignment="1">
      <alignment horizontal="center"/>
    </xf>
    <xf numFmtId="0" fontId="75" fillId="0" borderId="0" xfId="0" applyFont="1" applyAlignment="1">
      <alignment horizontal="right" vertical="top" wrapText="1"/>
    </xf>
    <xf numFmtId="0" fontId="75" fillId="0" borderId="0" xfId="0" applyFont="1" applyAlignment="1">
      <alignment horizontal="center" vertical="top" wrapText="1"/>
    </xf>
    <xf numFmtId="0" fontId="18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top"/>
    </xf>
    <xf numFmtId="0" fontId="0" fillId="0" borderId="0" xfId="0" applyAlignment="1">
      <alignment vertical="top" wrapText="1"/>
    </xf>
    <xf numFmtId="0" fontId="75" fillId="0" borderId="0" xfId="0" applyFont="1" applyAlignment="1">
      <alignment horizontal="center" vertical="top"/>
    </xf>
    <xf numFmtId="0" fontId="75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Font="1"/>
    <xf numFmtId="0" fontId="75" fillId="0" borderId="54" xfId="0" applyFont="1" applyBorder="1" applyAlignment="1">
      <alignment horizontal="center" wrapText="1"/>
    </xf>
    <xf numFmtId="0" fontId="17" fillId="0" borderId="1" xfId="0" applyFont="1" applyBorder="1" applyAlignment="1">
      <alignment horizontal="center" wrapText="1"/>
    </xf>
    <xf numFmtId="0" fontId="75" fillId="0" borderId="25" xfId="0" applyFont="1" applyBorder="1" applyAlignment="1">
      <alignment vertical="top" wrapText="1"/>
    </xf>
    <xf numFmtId="0" fontId="17" fillId="0" borderId="25" xfId="0" applyFont="1" applyBorder="1" applyAlignment="1">
      <alignment vertical="center" wrapText="1"/>
    </xf>
    <xf numFmtId="0" fontId="75" fillId="0" borderId="26" xfId="0" applyFont="1" applyBorder="1" applyAlignment="1">
      <alignment vertical="top" wrapText="1"/>
    </xf>
    <xf numFmtId="0" fontId="17" fillId="0" borderId="26" xfId="0" applyFont="1" applyBorder="1" applyAlignment="1">
      <alignment vertical="center" wrapText="1"/>
    </xf>
    <xf numFmtId="0" fontId="75" fillId="0" borderId="26" xfId="0" applyFont="1" applyBorder="1" applyAlignment="1">
      <alignment horizontal="right" vertical="top" wrapText="1" indent="1"/>
    </xf>
    <xf numFmtId="4" fontId="17" fillId="0" borderId="26" xfId="0" applyNumberFormat="1" applyFont="1" applyBorder="1" applyAlignment="1">
      <alignment horizontal="center" vertical="center" wrapText="1"/>
    </xf>
    <xf numFmtId="0" fontId="75" fillId="0" borderId="12" xfId="0" applyFont="1" applyBorder="1" applyAlignment="1">
      <alignment horizontal="right" vertical="top" wrapText="1" indent="1"/>
    </xf>
    <xf numFmtId="4" fontId="17" fillId="0" borderId="12" xfId="0" applyNumberFormat="1" applyFont="1" applyBorder="1" applyAlignment="1">
      <alignment horizontal="center" vertical="center" wrapText="1"/>
    </xf>
    <xf numFmtId="0" fontId="75" fillId="0" borderId="58" xfId="0" applyFont="1" applyBorder="1" applyAlignment="1">
      <alignment vertical="top" wrapText="1"/>
    </xf>
    <xf numFmtId="0" fontId="75" fillId="0" borderId="12" xfId="0" applyFont="1" applyBorder="1" applyAlignment="1">
      <alignment vertical="top" wrapText="1"/>
    </xf>
    <xf numFmtId="0" fontId="75" fillId="0" borderId="0" xfId="0" applyFont="1"/>
    <xf numFmtId="0" fontId="75" fillId="0" borderId="0" xfId="0" applyFont="1" applyAlignment="1">
      <alignment vertical="top" wrapText="1"/>
    </xf>
    <xf numFmtId="0" fontId="76" fillId="0" borderId="9" xfId="0" applyFont="1" applyFill="1" applyBorder="1" applyAlignment="1">
      <alignment horizontal="center" vertical="center" wrapText="1"/>
    </xf>
    <xf numFmtId="0" fontId="47" fillId="13" borderId="59" xfId="0" applyFont="1" applyFill="1" applyBorder="1" applyAlignment="1">
      <alignment horizontal="left"/>
    </xf>
    <xf numFmtId="0" fontId="47" fillId="13" borderId="59" xfId="0" applyFont="1" applyFill="1" applyBorder="1"/>
    <xf numFmtId="0" fontId="47" fillId="0" borderId="5" xfId="0" applyFont="1" applyFill="1" applyBorder="1" applyAlignment="1">
      <alignment vertical="top" wrapText="1"/>
    </xf>
    <xf numFmtId="2" fontId="47" fillId="0" borderId="5" xfId="0" applyNumberFormat="1" applyFont="1" applyFill="1" applyBorder="1" applyAlignment="1">
      <alignment horizontal="center" vertical="center" wrapText="1"/>
    </xf>
    <xf numFmtId="43" fontId="48" fillId="0" borderId="2" xfId="0" applyNumberFormat="1" applyFont="1" applyFill="1" applyBorder="1" applyAlignment="1">
      <alignment horizontal="center" vertical="center" wrapText="1"/>
    </xf>
    <xf numFmtId="10" fontId="3" fillId="12" borderId="1" xfId="0" applyNumberFormat="1" applyFont="1" applyFill="1" applyBorder="1" applyAlignment="1">
      <alignment horizontal="center"/>
    </xf>
    <xf numFmtId="166" fontId="6" fillId="0" borderId="57" xfId="0" applyNumberFormat="1" applyFont="1" applyFill="1" applyBorder="1" applyAlignment="1"/>
    <xf numFmtId="166" fontId="6" fillId="0" borderId="67" xfId="0" applyNumberFormat="1" applyFont="1" applyFill="1" applyBorder="1" applyAlignment="1">
      <alignment horizontal="centerContinuous" vertical="center"/>
    </xf>
    <xf numFmtId="4" fontId="6" fillId="0" borderId="57" xfId="0" applyNumberFormat="1" applyFont="1" applyFill="1" applyBorder="1" applyAlignment="1"/>
    <xf numFmtId="164" fontId="7" fillId="0" borderId="57" xfId="0" applyNumberFormat="1" applyFont="1" applyFill="1" applyBorder="1" applyAlignment="1"/>
    <xf numFmtId="14" fontId="0" fillId="0" borderId="0" xfId="0" applyNumberFormat="1" applyFill="1"/>
    <xf numFmtId="0" fontId="14" fillId="0" borderId="0" xfId="0" applyFont="1" applyFill="1"/>
    <xf numFmtId="164" fontId="0" fillId="0" borderId="0" xfId="0" applyNumberFormat="1" applyFill="1"/>
    <xf numFmtId="0" fontId="9" fillId="0" borderId="39" xfId="0" applyFont="1" applyFill="1" applyBorder="1" applyAlignment="1">
      <alignment horizontal="center"/>
    </xf>
    <xf numFmtId="2" fontId="9" fillId="11" borderId="1" xfId="0" applyNumberFormat="1" applyFont="1" applyFill="1" applyBorder="1"/>
    <xf numFmtId="14" fontId="0" fillId="36" borderId="0" xfId="0" applyNumberFormat="1" applyFill="1"/>
    <xf numFmtId="0" fontId="0" fillId="36" borderId="0" xfId="0" applyFill="1" applyAlignment="1">
      <alignment horizontal="right"/>
    </xf>
    <xf numFmtId="0" fontId="14" fillId="36" borderId="0" xfId="0" applyFont="1" applyFill="1"/>
    <xf numFmtId="164" fontId="0" fillId="36" borderId="0" xfId="0" applyNumberFormat="1" applyFill="1"/>
    <xf numFmtId="2" fontId="9" fillId="13" borderId="1" xfId="0" applyNumberFormat="1" applyFont="1" applyFill="1" applyBorder="1"/>
    <xf numFmtId="166" fontId="10" fillId="0" borderId="5" xfId="0" applyNumberFormat="1" applyFont="1" applyFill="1" applyBorder="1"/>
    <xf numFmtId="4" fontId="19" fillId="0" borderId="68" xfId="0" applyNumberFormat="1" applyFont="1" applyFill="1" applyBorder="1" applyAlignment="1">
      <alignment horizontal="right" vertical="center"/>
    </xf>
    <xf numFmtId="0" fontId="14" fillId="12" borderId="0" xfId="0" applyFont="1" applyFill="1"/>
    <xf numFmtId="0" fontId="9" fillId="0" borderId="40" xfId="0" applyFont="1" applyFill="1" applyBorder="1" applyAlignment="1">
      <alignment horizontal="center"/>
    </xf>
    <xf numFmtId="0" fontId="9" fillId="0" borderId="51" xfId="0" applyFont="1" applyFill="1" applyBorder="1" applyAlignment="1">
      <alignment horizontal="center"/>
    </xf>
    <xf numFmtId="0" fontId="6" fillId="11" borderId="4" xfId="0" applyFont="1" applyFill="1" applyBorder="1" applyAlignment="1">
      <alignment vertical="top" wrapText="1"/>
    </xf>
    <xf numFmtId="4" fontId="6" fillId="16" borderId="0" xfId="0" applyNumberFormat="1" applyFont="1" applyFill="1" applyAlignment="1"/>
    <xf numFmtId="4" fontId="9" fillId="16" borderId="6" xfId="0" applyNumberFormat="1" applyFont="1" applyFill="1" applyBorder="1" applyAlignment="1">
      <alignment horizontal="right" vertical="center"/>
    </xf>
    <xf numFmtId="4" fontId="9" fillId="16" borderId="8" xfId="0" applyNumberFormat="1" applyFont="1" applyFill="1" applyBorder="1" applyAlignment="1">
      <alignment horizontal="right" vertical="center"/>
    </xf>
    <xf numFmtId="164" fontId="47" fillId="0" borderId="0" xfId="0" applyNumberFormat="1" applyFont="1" applyFill="1"/>
    <xf numFmtId="164" fontId="47" fillId="0" borderId="0" xfId="0" applyNumberFormat="1" applyFont="1" applyFill="1" applyBorder="1" applyAlignment="1">
      <alignment horizontal="right"/>
    </xf>
    <xf numFmtId="4" fontId="7" fillId="12" borderId="5" xfId="0" applyNumberFormat="1" applyFont="1" applyFill="1" applyBorder="1" applyAlignment="1">
      <alignment horizontal="right"/>
    </xf>
    <xf numFmtId="4" fontId="47" fillId="12" borderId="1" xfId="0" applyNumberFormat="1" applyFont="1" applyFill="1" applyBorder="1" applyAlignment="1">
      <alignment horizontal="center" vertical="center" wrapText="1"/>
    </xf>
    <xf numFmtId="4" fontId="9" fillId="12" borderId="5" xfId="0" applyNumberFormat="1" applyFont="1" applyFill="1" applyBorder="1" applyAlignment="1">
      <alignment horizontal="right" vertical="center"/>
    </xf>
    <xf numFmtId="4" fontId="19" fillId="12" borderId="2" xfId="0" applyNumberFormat="1" applyFont="1" applyFill="1" applyBorder="1" applyAlignment="1">
      <alignment horizontal="right" vertical="center"/>
    </xf>
    <xf numFmtId="14" fontId="0" fillId="12" borderId="0" xfId="0" applyNumberFormat="1" applyFill="1"/>
    <xf numFmtId="164" fontId="0" fillId="12" borderId="0" xfId="0" applyNumberFormat="1" applyFill="1"/>
    <xf numFmtId="4" fontId="0" fillId="0" borderId="0" xfId="0" applyNumberFormat="1" applyFill="1" applyAlignment="1"/>
    <xf numFmtId="4" fontId="0" fillId="11" borderId="0" xfId="0" applyNumberFormat="1" applyFill="1" applyAlignment="1"/>
    <xf numFmtId="0" fontId="0" fillId="0" borderId="0" xfId="0" applyFill="1" applyAlignment="1"/>
    <xf numFmtId="0" fontId="17" fillId="0" borderId="0" xfId="0" applyFont="1" applyFill="1" applyAlignment="1">
      <alignment horizontal="right"/>
    </xf>
    <xf numFmtId="0" fontId="47" fillId="0" borderId="27" xfId="0" applyFont="1" applyFill="1" applyBorder="1" applyAlignment="1">
      <alignment horizontal="left"/>
    </xf>
    <xf numFmtId="0" fontId="47" fillId="0" borderId="8" xfId="0" applyFont="1" applyFill="1" applyBorder="1" applyAlignment="1">
      <alignment horizontal="left" vertical="center" wrapText="1"/>
    </xf>
    <xf numFmtId="2" fontId="47" fillId="0" borderId="1" xfId="0" applyNumberFormat="1" applyFont="1" applyFill="1" applyBorder="1" applyAlignment="1">
      <alignment horizontal="center" vertical="center" wrapText="1"/>
    </xf>
    <xf numFmtId="0" fontId="47" fillId="0" borderId="1" xfId="0" applyFont="1" applyFill="1" applyBorder="1" applyAlignment="1">
      <alignment horizontal="center" vertical="center" wrapText="1"/>
    </xf>
    <xf numFmtId="0" fontId="47" fillId="0" borderId="5" xfId="0" applyFont="1" applyFill="1" applyBorder="1" applyAlignment="1">
      <alignment horizontal="center" vertical="center" wrapText="1"/>
    </xf>
    <xf numFmtId="43" fontId="47" fillId="0" borderId="0" xfId="0" applyNumberFormat="1" applyFont="1" applyFill="1" applyAlignment="1">
      <alignment wrapText="1"/>
    </xf>
    <xf numFmtId="0" fontId="47" fillId="0" borderId="0" xfId="0" applyFont="1" applyFill="1" applyAlignment="1">
      <alignment wrapText="1"/>
    </xf>
    <xf numFmtId="0" fontId="77" fillId="0" borderId="0" xfId="0" applyFont="1" applyFill="1"/>
    <xf numFmtId="4" fontId="77" fillId="0" borderId="0" xfId="0" applyNumberFormat="1" applyFont="1" applyFill="1"/>
    <xf numFmtId="4" fontId="77" fillId="0" borderId="0" xfId="0" applyNumberFormat="1" applyFont="1" applyFill="1" applyBorder="1" applyAlignment="1">
      <alignment horizontal="right"/>
    </xf>
    <xf numFmtId="4" fontId="77" fillId="0" borderId="0" xfId="0" applyNumberFormat="1" applyFont="1" applyFill="1" applyAlignment="1">
      <alignment horizontal="right" wrapText="1"/>
    </xf>
    <xf numFmtId="43" fontId="49" fillId="28" borderId="0" xfId="0" applyNumberFormat="1" applyFont="1" applyFill="1" applyAlignment="1">
      <alignment horizontal="right" wrapText="1"/>
    </xf>
    <xf numFmtId="43" fontId="48" fillId="28" borderId="0" xfId="0" applyNumberFormat="1" applyFont="1" applyFill="1" applyAlignment="1">
      <alignment horizontal="right" wrapText="1"/>
    </xf>
    <xf numFmtId="0" fontId="48" fillId="28" borderId="0" xfId="0" applyFont="1" applyFill="1" applyAlignment="1">
      <alignment horizontal="left"/>
    </xf>
    <xf numFmtId="0" fontId="47" fillId="28" borderId="0" xfId="0" applyFont="1" applyFill="1" applyAlignment="1">
      <alignment wrapText="1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center"/>
    </xf>
    <xf numFmtId="0" fontId="21" fillId="0" borderId="0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21" fillId="0" borderId="37" xfId="0" applyFont="1" applyBorder="1" applyAlignment="1">
      <alignment horizontal="center"/>
    </xf>
    <xf numFmtId="0" fontId="21" fillId="0" borderId="47" xfId="0" applyFont="1" applyBorder="1" applyAlignment="1">
      <alignment horizontal="center"/>
    </xf>
    <xf numFmtId="4" fontId="32" fillId="0" borderId="49" xfId="0" applyNumberFormat="1" applyFont="1" applyBorder="1" applyAlignment="1">
      <alignment horizontal="center" vertical="center"/>
    </xf>
    <xf numFmtId="4" fontId="32" fillId="0" borderId="2" xfId="0" applyNumberFormat="1" applyFont="1" applyBorder="1" applyAlignment="1">
      <alignment horizontal="center" vertical="center" wrapText="1"/>
    </xf>
    <xf numFmtId="4" fontId="32" fillId="0" borderId="11" xfId="0" applyNumberFormat="1" applyFont="1" applyBorder="1" applyAlignment="1">
      <alignment horizontal="center" vertical="center"/>
    </xf>
    <xf numFmtId="4" fontId="32" fillId="0" borderId="7" xfId="0" applyNumberFormat="1" applyFont="1" applyBorder="1" applyAlignment="1">
      <alignment horizontal="center" vertical="center"/>
    </xf>
    <xf numFmtId="4" fontId="30" fillId="0" borderId="49" xfId="0" applyNumberFormat="1" applyFont="1" applyBorder="1" applyAlignment="1">
      <alignment horizontal="center" vertical="center" wrapText="1"/>
    </xf>
    <xf numFmtId="4" fontId="30" fillId="0" borderId="2" xfId="0" applyNumberFormat="1" applyFont="1" applyBorder="1" applyAlignment="1">
      <alignment horizontal="center" vertical="center" wrapText="1"/>
    </xf>
    <xf numFmtId="4" fontId="30" fillId="0" borderId="44" xfId="0" applyNumberFormat="1" applyFont="1" applyBorder="1" applyAlignment="1">
      <alignment horizontal="center" vertical="center" wrapText="1"/>
    </xf>
    <xf numFmtId="4" fontId="30" fillId="0" borderId="35" xfId="0" applyNumberFormat="1" applyFont="1" applyBorder="1" applyAlignment="1">
      <alignment horizontal="center" vertical="center" wrapText="1"/>
    </xf>
    <xf numFmtId="0" fontId="26" fillId="0" borderId="0" xfId="0" applyFont="1" applyBorder="1"/>
    <xf numFmtId="1" fontId="32" fillId="0" borderId="23" xfId="0" applyNumberFormat="1" applyFont="1" applyBorder="1" applyAlignment="1">
      <alignment horizontal="center" vertical="center"/>
    </xf>
    <xf numFmtId="0" fontId="32" fillId="0" borderId="13" xfId="0" applyFont="1" applyFill="1" applyBorder="1" applyAlignment="1">
      <alignment horizontal="left" vertical="center" wrapText="1"/>
    </xf>
    <xf numFmtId="4" fontId="32" fillId="0" borderId="23" xfId="0" applyNumberFormat="1" applyFont="1" applyBorder="1" applyAlignment="1">
      <alignment horizontal="center" vertical="center"/>
    </xf>
    <xf numFmtId="4" fontId="32" fillId="0" borderId="14" xfId="0" applyNumberFormat="1" applyFont="1" applyBorder="1" applyAlignment="1">
      <alignment horizontal="center" vertical="center"/>
    </xf>
    <xf numFmtId="4" fontId="32" fillId="0" borderId="16" xfId="0" applyNumberFormat="1" applyFont="1" applyBorder="1" applyAlignment="1">
      <alignment horizontal="center" vertical="center"/>
    </xf>
    <xf numFmtId="4" fontId="32" fillId="0" borderId="18" xfId="0" applyNumberFormat="1" applyFont="1" applyBorder="1" applyAlignment="1">
      <alignment horizontal="center" vertical="center"/>
    </xf>
    <xf numFmtId="4" fontId="30" fillId="0" borderId="23" xfId="0" applyNumberFormat="1" applyFont="1" applyBorder="1" applyAlignment="1">
      <alignment horizontal="center" vertical="center"/>
    </xf>
    <xf numFmtId="4" fontId="30" fillId="0" borderId="13" xfId="0" applyNumberFormat="1" applyFont="1" applyBorder="1" applyAlignment="1">
      <alignment horizontal="center" vertical="center"/>
    </xf>
    <xf numFmtId="4" fontId="30" fillId="0" borderId="12" xfId="0" applyNumberFormat="1" applyFont="1" applyBorder="1" applyAlignment="1">
      <alignment horizontal="center" vertical="center"/>
    </xf>
    <xf numFmtId="1" fontId="32" fillId="0" borderId="8" xfId="0" applyNumberFormat="1" applyFont="1" applyBorder="1" applyAlignment="1">
      <alignment horizontal="center" vertical="center"/>
    </xf>
    <xf numFmtId="4" fontId="32" fillId="0" borderId="8" xfId="0" applyNumberFormat="1" applyFont="1" applyBorder="1" applyAlignment="1">
      <alignment horizontal="center" vertical="center"/>
    </xf>
    <xf numFmtId="4" fontId="32" fillId="0" borderId="5" xfId="0" applyNumberFormat="1" applyFont="1" applyBorder="1" applyAlignment="1">
      <alignment horizontal="center" vertical="center"/>
    </xf>
    <xf numFmtId="0" fontId="26" fillId="0" borderId="1" xfId="0" applyFont="1" applyBorder="1"/>
    <xf numFmtId="4" fontId="32" fillId="0" borderId="9" xfId="0" applyNumberFormat="1" applyFont="1" applyBorder="1" applyAlignment="1">
      <alignment horizontal="center" vertical="center"/>
    </xf>
    <xf numFmtId="4" fontId="32" fillId="0" borderId="2" xfId="0" applyNumberFormat="1" applyFont="1" applyBorder="1" applyAlignment="1">
      <alignment horizontal="center" vertical="center"/>
    </xf>
    <xf numFmtId="4" fontId="30" fillId="0" borderId="77" xfId="0" applyNumberFormat="1" applyFont="1" applyBorder="1" applyAlignment="1">
      <alignment horizontal="center" vertical="center"/>
    </xf>
    <xf numFmtId="4" fontId="30" fillId="0" borderId="78" xfId="0" applyNumberFormat="1" applyFont="1" applyBorder="1" applyAlignment="1">
      <alignment horizontal="center" vertical="center"/>
    </xf>
    <xf numFmtId="4" fontId="30" fillId="0" borderId="79" xfId="0" applyNumberFormat="1" applyFont="1" applyBorder="1" applyAlignment="1">
      <alignment horizontal="center" vertical="center"/>
    </xf>
    <xf numFmtId="4" fontId="30" fillId="0" borderId="80" xfId="0" applyNumberFormat="1" applyFont="1" applyBorder="1" applyAlignment="1">
      <alignment horizontal="center" vertical="center"/>
    </xf>
    <xf numFmtId="4" fontId="30" fillId="0" borderId="83" xfId="0" applyNumberFormat="1" applyFont="1" applyBorder="1" applyAlignment="1">
      <alignment horizontal="center" vertical="center"/>
    </xf>
    <xf numFmtId="4" fontId="26" fillId="0" borderId="0" xfId="0" applyNumberFormat="1" applyFont="1" applyAlignment="1">
      <alignment vertical="center"/>
    </xf>
    <xf numFmtId="0" fontId="18" fillId="0" borderId="0" xfId="0" applyFont="1" applyBorder="1" applyAlignment="1"/>
    <xf numFmtId="0" fontId="18" fillId="0" borderId="0" xfId="0" applyFont="1" applyAlignment="1"/>
    <xf numFmtId="0" fontId="26" fillId="0" borderId="0" xfId="0" applyFont="1" applyAlignment="1">
      <alignment horizontal="right"/>
    </xf>
    <xf numFmtId="0" fontId="17" fillId="0" borderId="0" xfId="0" applyFont="1" applyAlignment="1">
      <alignment horizontal="right"/>
    </xf>
    <xf numFmtId="0" fontId="26" fillId="0" borderId="0" xfId="0" applyFont="1" applyAlignment="1">
      <alignment horizontal="center"/>
    </xf>
    <xf numFmtId="0" fontId="17" fillId="0" borderId="0" xfId="0" applyFont="1" applyAlignment="1">
      <alignment horizontal="right"/>
    </xf>
    <xf numFmtId="43" fontId="21" fillId="0" borderId="54" xfId="0" applyNumberFormat="1" applyFont="1" applyBorder="1" applyAlignment="1">
      <alignment horizontal="center" wrapText="1"/>
    </xf>
    <xf numFmtId="0" fontId="21" fillId="0" borderId="12" xfId="0" applyFont="1" applyBorder="1" applyAlignment="1">
      <alignment horizontal="center"/>
    </xf>
    <xf numFmtId="43" fontId="21" fillId="0" borderId="15" xfId="0" applyNumberFormat="1" applyFont="1" applyBorder="1" applyAlignment="1">
      <alignment horizontal="center" wrapText="1"/>
    </xf>
    <xf numFmtId="43" fontId="21" fillId="0" borderId="15" xfId="0" applyNumberFormat="1" applyFont="1" applyFill="1" applyBorder="1" applyAlignment="1">
      <alignment horizontal="center" wrapText="1"/>
    </xf>
    <xf numFmtId="0" fontId="21" fillId="0" borderId="12" xfId="0" applyFont="1" applyBorder="1" applyAlignment="1">
      <alignment horizontal="center" vertical="top" wrapText="1"/>
    </xf>
    <xf numFmtId="0" fontId="26" fillId="0" borderId="12" xfId="0" applyFont="1" applyBorder="1" applyAlignment="1">
      <alignment horizontal="center" vertical="top"/>
    </xf>
    <xf numFmtId="0" fontId="78" fillId="9" borderId="12" xfId="0" applyFont="1" applyFill="1" applyBorder="1" applyAlignment="1">
      <alignment horizontal="left" vertical="center" wrapText="1"/>
    </xf>
    <xf numFmtId="4" fontId="26" fillId="0" borderId="12" xfId="0" applyNumberFormat="1" applyFont="1" applyBorder="1" applyAlignment="1">
      <alignment horizontal="right" wrapText="1" indent="1"/>
    </xf>
    <xf numFmtId="10" fontId="26" fillId="0" borderId="12" xfId="0" applyNumberFormat="1" applyFont="1" applyBorder="1" applyAlignment="1">
      <alignment horizontal="center" wrapText="1"/>
    </xf>
    <xf numFmtId="4" fontId="26" fillId="0" borderId="1" xfId="0" applyNumberFormat="1" applyFont="1" applyBorder="1" applyAlignment="1">
      <alignment horizontal="right" wrapText="1" indent="1"/>
    </xf>
    <xf numFmtId="43" fontId="26" fillId="0" borderId="0" xfId="0" applyNumberFormat="1" applyFont="1"/>
    <xf numFmtId="0" fontId="26" fillId="0" borderId="1" xfId="0" applyFont="1" applyBorder="1" applyAlignment="1">
      <alignment horizontal="center" vertical="top"/>
    </xf>
    <xf numFmtId="0" fontId="78" fillId="9" borderId="1" xfId="0" applyFont="1" applyFill="1" applyBorder="1" applyAlignment="1">
      <alignment horizontal="left" vertical="center" wrapText="1"/>
    </xf>
    <xf numFmtId="0" fontId="21" fillId="0" borderId="1" xfId="0" applyFont="1" applyBorder="1"/>
    <xf numFmtId="0" fontId="21" fillId="0" borderId="1" xfId="0" applyFont="1" applyBorder="1" applyAlignment="1">
      <alignment horizontal="left" indent="1"/>
    </xf>
    <xf numFmtId="4" fontId="21" fillId="0" borderId="1" xfId="0" applyNumberFormat="1" applyFont="1" applyBorder="1" applyAlignment="1">
      <alignment horizontal="right" wrapText="1" indent="1"/>
    </xf>
    <xf numFmtId="10" fontId="21" fillId="0" borderId="12" xfId="0" applyNumberFormat="1" applyFont="1" applyFill="1" applyBorder="1" applyAlignment="1">
      <alignment horizontal="center" wrapText="1"/>
    </xf>
    <xf numFmtId="0" fontId="21" fillId="0" borderId="0" xfId="0" applyFont="1"/>
    <xf numFmtId="43" fontId="21" fillId="0" borderId="0" xfId="0" applyNumberFormat="1" applyFont="1"/>
    <xf numFmtId="0" fontId="26" fillId="0" borderId="1" xfId="0" applyFont="1" applyBorder="1" applyAlignment="1">
      <alignment horizontal="left" indent="1"/>
    </xf>
    <xf numFmtId="4" fontId="26" fillId="0" borderId="1" xfId="0" applyNumberFormat="1" applyFont="1" applyBorder="1" applyAlignment="1">
      <alignment horizontal="center" wrapText="1"/>
    </xf>
    <xf numFmtId="4" fontId="26" fillId="0" borderId="12" xfId="0" applyNumberFormat="1" applyFont="1" applyBorder="1" applyAlignment="1">
      <alignment horizontal="center" wrapText="1"/>
    </xf>
    <xf numFmtId="0" fontId="26" fillId="0" borderId="1" xfId="0" applyFont="1" applyFill="1" applyBorder="1" applyAlignment="1">
      <alignment horizontal="left" indent="1"/>
    </xf>
    <xf numFmtId="4" fontId="26" fillId="0" borderId="1" xfId="0" applyNumberFormat="1" applyFont="1" applyFill="1" applyBorder="1" applyAlignment="1">
      <alignment horizontal="right" wrapText="1" indent="1"/>
    </xf>
    <xf numFmtId="10" fontId="26" fillId="0" borderId="1" xfId="0" applyNumberFormat="1" applyFont="1" applyFill="1" applyBorder="1" applyAlignment="1">
      <alignment horizontal="right" wrapText="1" indent="1"/>
    </xf>
    <xf numFmtId="10" fontId="26" fillId="0" borderId="1" xfId="0" applyNumberFormat="1" applyFont="1" applyBorder="1" applyAlignment="1">
      <alignment horizontal="right" wrapText="1" indent="1"/>
    </xf>
    <xf numFmtId="0" fontId="2" fillId="0" borderId="0" xfId="18"/>
    <xf numFmtId="4" fontId="2" fillId="0" borderId="0" xfId="18" applyNumberFormat="1" applyFill="1" applyBorder="1"/>
    <xf numFmtId="2" fontId="79" fillId="0" borderId="0" xfId="18" applyNumberFormat="1" applyFont="1" applyAlignment="1">
      <alignment horizontal="right"/>
    </xf>
    <xf numFmtId="2" fontId="79" fillId="0" borderId="0" xfId="18" applyNumberFormat="1" applyFont="1"/>
    <xf numFmtId="4" fontId="2" fillId="0" borderId="1" xfId="18" applyNumberFormat="1" applyBorder="1"/>
    <xf numFmtId="10" fontId="3" fillId="0" borderId="1" xfId="18" applyNumberFormat="1" applyFont="1" applyBorder="1" applyAlignment="1">
      <alignment horizontal="center"/>
    </xf>
    <xf numFmtId="4" fontId="14" fillId="0" borderId="1" xfId="18" applyNumberFormat="1" applyFont="1" applyBorder="1"/>
    <xf numFmtId="0" fontId="2" fillId="0" borderId="1" xfId="18" applyBorder="1"/>
    <xf numFmtId="0" fontId="2" fillId="0" borderId="1" xfId="18" applyFill="1" applyBorder="1"/>
    <xf numFmtId="4" fontId="2" fillId="0" borderId="25" xfId="18" applyNumberFormat="1" applyBorder="1"/>
    <xf numFmtId="4" fontId="12" fillId="17" borderId="1" xfId="18" applyNumberFormat="1" applyFont="1" applyFill="1" applyBorder="1" applyAlignment="1">
      <alignment horizontal="center"/>
    </xf>
    <xf numFmtId="4" fontId="14" fillId="0" borderId="0" xfId="18" applyNumberFormat="1" applyFont="1"/>
    <xf numFmtId="4" fontId="79" fillId="0" borderId="0" xfId="18" applyNumberFormat="1" applyFont="1"/>
    <xf numFmtId="0" fontId="26" fillId="0" borderId="0" xfId="0" applyFont="1" applyAlignment="1"/>
    <xf numFmtId="0" fontId="21" fillId="0" borderId="16" xfId="0" applyFont="1" applyBorder="1" applyAlignment="1">
      <alignment horizontal="center"/>
    </xf>
    <xf numFmtId="0" fontId="21" fillId="0" borderId="17" xfId="0" applyFont="1" applyBorder="1" applyAlignment="1">
      <alignment horizontal="center"/>
    </xf>
    <xf numFmtId="4" fontId="32" fillId="0" borderId="66" xfId="0" applyNumberFormat="1" applyFont="1" applyBorder="1" applyAlignment="1">
      <alignment horizontal="center" vertical="center"/>
    </xf>
    <xf numFmtId="0" fontId="32" fillId="0" borderId="12" xfId="0" applyNumberFormat="1" applyFont="1" applyFill="1" applyBorder="1" applyAlignment="1">
      <alignment horizontal="left" vertical="center" wrapText="1"/>
    </xf>
    <xf numFmtId="4" fontId="32" fillId="0" borderId="16" xfId="0" applyNumberFormat="1" applyFont="1" applyFill="1" applyBorder="1" applyAlignment="1">
      <alignment horizontal="center" vertical="center" wrapText="1"/>
    </xf>
    <xf numFmtId="2" fontId="32" fillId="0" borderId="13" xfId="0" applyNumberFormat="1" applyFont="1" applyBorder="1" applyAlignment="1">
      <alignment horizontal="center" vertical="center"/>
    </xf>
    <xf numFmtId="4" fontId="32" fillId="0" borderId="8" xfId="0" applyNumberFormat="1" applyFont="1" applyFill="1" applyBorder="1" applyAlignment="1">
      <alignment horizontal="center" vertical="center" wrapText="1"/>
    </xf>
    <xf numFmtId="4" fontId="32" fillId="0" borderId="9" xfId="0" applyNumberFormat="1" applyFont="1" applyFill="1" applyBorder="1" applyAlignment="1">
      <alignment horizontal="center" vertical="center" wrapText="1"/>
    </xf>
    <xf numFmtId="4" fontId="30" fillId="0" borderId="52" xfId="0" applyNumberFormat="1" applyFont="1" applyFill="1" applyBorder="1" applyAlignment="1">
      <alignment horizontal="center" vertical="center" wrapText="1"/>
    </xf>
    <xf numFmtId="4" fontId="30" fillId="0" borderId="36" xfId="0" applyNumberFormat="1" applyFont="1" applyBorder="1" applyAlignment="1">
      <alignment horizontal="center" vertical="center"/>
    </xf>
    <xf numFmtId="4" fontId="30" fillId="0" borderId="46" xfId="0" applyNumberFormat="1" applyFont="1" applyFill="1" applyBorder="1" applyAlignment="1">
      <alignment horizontal="center" vertical="center"/>
    </xf>
    <xf numFmtId="4" fontId="30" fillId="0" borderId="35" xfId="0" applyNumberFormat="1" applyFont="1" applyBorder="1" applyAlignment="1">
      <alignment horizontal="center" vertical="center"/>
    </xf>
    <xf numFmtId="2" fontId="30" fillId="0" borderId="78" xfId="0" applyNumberFormat="1" applyFont="1" applyBorder="1" applyAlignment="1">
      <alignment horizontal="center" vertical="center"/>
    </xf>
    <xf numFmtId="4" fontId="26" fillId="28" borderId="0" xfId="0" applyNumberFormat="1" applyFont="1" applyFill="1" applyAlignment="1">
      <alignment vertical="center"/>
    </xf>
    <xf numFmtId="4" fontId="17" fillId="0" borderId="0" xfId="0" applyNumberFormat="1" applyFont="1" applyAlignment="1">
      <alignment vertical="center"/>
    </xf>
    <xf numFmtId="4" fontId="17" fillId="0" borderId="0" xfId="0" applyNumberFormat="1" applyFont="1" applyAlignment="1"/>
    <xf numFmtId="4" fontId="6" fillId="0" borderId="84" xfId="0" applyNumberFormat="1" applyFont="1" applyFill="1" applyBorder="1" applyAlignment="1">
      <alignment horizontal="center" textRotation="255" wrapText="1"/>
    </xf>
    <xf numFmtId="4" fontId="7" fillId="0" borderId="59" xfId="0" applyNumberFormat="1" applyFont="1" applyFill="1" applyBorder="1" applyAlignment="1">
      <alignment horizontal="right"/>
    </xf>
    <xf numFmtId="4" fontId="7" fillId="0" borderId="27" xfId="0" applyNumberFormat="1" applyFont="1" applyFill="1" applyBorder="1" applyAlignment="1">
      <alignment horizontal="right"/>
    </xf>
    <xf numFmtId="10" fontId="6" fillId="0" borderId="19" xfId="0" applyNumberFormat="1" applyFont="1" applyFill="1" applyBorder="1" applyAlignment="1">
      <alignment horizontal="center" textRotation="255" wrapText="1"/>
    </xf>
    <xf numFmtId="2" fontId="0" fillId="0" borderId="0" xfId="0" applyNumberFormat="1" applyFill="1" applyAlignment="1"/>
    <xf numFmtId="2" fontId="14" fillId="0" borderId="0" xfId="0" applyNumberFormat="1" applyFont="1" applyFill="1" applyAlignment="1"/>
    <xf numFmtId="4" fontId="7" fillId="15" borderId="59" xfId="0" applyNumberFormat="1" applyFont="1" applyFill="1" applyBorder="1" applyAlignment="1">
      <alignment horizontal="right"/>
    </xf>
    <xf numFmtId="164" fontId="7" fillId="37" borderId="1" xfId="0" applyNumberFormat="1" applyFont="1" applyFill="1" applyBorder="1" applyAlignment="1">
      <alignment horizontal="right"/>
    </xf>
    <xf numFmtId="164" fontId="7" fillId="0" borderId="59" xfId="0" applyNumberFormat="1" applyFont="1" applyFill="1" applyBorder="1" applyAlignment="1">
      <alignment horizontal="right"/>
    </xf>
    <xf numFmtId="0" fontId="7" fillId="28" borderId="1" xfId="0" applyFont="1" applyFill="1" applyBorder="1" applyAlignment="1">
      <alignment vertical="top" wrapText="1"/>
    </xf>
    <xf numFmtId="166" fontId="6" fillId="0" borderId="60" xfId="0" applyNumberFormat="1" applyFont="1" applyFill="1" applyBorder="1" applyAlignment="1">
      <alignment horizontal="center" textRotation="255" wrapText="1"/>
    </xf>
    <xf numFmtId="164" fontId="7" fillId="0" borderId="1" xfId="0" applyNumberFormat="1" applyFont="1" applyFill="1" applyBorder="1" applyAlignment="1">
      <alignment horizontal="left" vertical="top" wrapText="1"/>
    </xf>
    <xf numFmtId="0" fontId="41" fillId="0" borderId="0" xfId="1" applyFont="1" applyBorder="1" applyAlignment="1">
      <alignment vertical="top" wrapText="1"/>
    </xf>
    <xf numFmtId="164" fontId="12" fillId="0" borderId="0" xfId="1" applyNumberFormat="1" applyFont="1" applyBorder="1" applyAlignment="1"/>
    <xf numFmtId="164" fontId="12" fillId="0" borderId="0" xfId="1" applyNumberFormat="1" applyFont="1" applyFill="1" applyBorder="1" applyAlignment="1"/>
    <xf numFmtId="0" fontId="2" fillId="28" borderId="1" xfId="18" applyFill="1" applyBorder="1"/>
    <xf numFmtId="0" fontId="2" fillId="28" borderId="1" xfId="18" applyFont="1" applyFill="1" applyBorder="1"/>
    <xf numFmtId="0" fontId="0" fillId="28" borderId="1" xfId="18" applyFont="1" applyFill="1" applyBorder="1"/>
    <xf numFmtId="0" fontId="14" fillId="0" borderId="1" xfId="18" applyFont="1" applyBorder="1" applyAlignment="1">
      <alignment horizontal="right"/>
    </xf>
    <xf numFmtId="0" fontId="0" fillId="0" borderId="0" xfId="18" applyFont="1"/>
    <xf numFmtId="2" fontId="2" fillId="0" borderId="0" xfId="1" applyNumberFormat="1"/>
    <xf numFmtId="4" fontId="2" fillId="11" borderId="1" xfId="1" applyNumberFormat="1" applyFill="1" applyBorder="1" applyAlignment="1">
      <alignment horizontal="right"/>
    </xf>
    <xf numFmtId="4" fontId="2" fillId="28" borderId="1" xfId="18" applyNumberFormat="1" applyFill="1" applyBorder="1"/>
    <xf numFmtId="10" fontId="3" fillId="28" borderId="1" xfId="18" applyNumberFormat="1" applyFont="1" applyFill="1" applyBorder="1" applyAlignment="1">
      <alignment horizontal="center"/>
    </xf>
    <xf numFmtId="4" fontId="14" fillId="28" borderId="1" xfId="18" applyNumberFormat="1" applyFont="1" applyFill="1" applyBorder="1"/>
    <xf numFmtId="4" fontId="2" fillId="28" borderId="25" xfId="18" applyNumberFormat="1" applyFill="1" applyBorder="1"/>
    <xf numFmtId="4" fontId="2" fillId="28" borderId="1" xfId="1" applyNumberFormat="1" applyFill="1" applyBorder="1" applyAlignment="1">
      <alignment horizontal="right"/>
    </xf>
    <xf numFmtId="0" fontId="2" fillId="28" borderId="0" xfId="18" applyFill="1"/>
    <xf numFmtId="176" fontId="12" fillId="0" borderId="0" xfId="1" applyNumberFormat="1" applyFont="1" applyBorder="1" applyAlignment="1"/>
    <xf numFmtId="2" fontId="2" fillId="28" borderId="0" xfId="1" applyNumberFormat="1" applyFill="1" applyAlignment="1"/>
    <xf numFmtId="4" fontId="2" fillId="14" borderId="1" xfId="1" applyNumberFormat="1" applyFill="1" applyBorder="1" applyAlignment="1">
      <alignment horizontal="right"/>
    </xf>
    <xf numFmtId="4" fontId="2" fillId="32" borderId="1" xfId="1" applyNumberFormat="1" applyFill="1" applyBorder="1" applyAlignment="1">
      <alignment horizontal="right"/>
    </xf>
    <xf numFmtId="4" fontId="2" fillId="31" borderId="1" xfId="1" applyNumberFormat="1" applyFill="1" applyBorder="1" applyAlignment="1">
      <alignment horizontal="right"/>
    </xf>
    <xf numFmtId="4" fontId="2" fillId="35" borderId="1" xfId="1" applyNumberFormat="1" applyFill="1" applyBorder="1" applyAlignment="1">
      <alignment horizontal="right"/>
    </xf>
    <xf numFmtId="4" fontId="2" fillId="38" borderId="1" xfId="1" applyNumberFormat="1" applyFill="1" applyBorder="1" applyAlignment="1">
      <alignment horizontal="right"/>
    </xf>
    <xf numFmtId="4" fontId="2" fillId="12" borderId="1" xfId="1" applyNumberFormat="1" applyFill="1" applyBorder="1" applyAlignment="1">
      <alignment horizontal="right"/>
    </xf>
    <xf numFmtId="0" fontId="36" fillId="38" borderId="4" xfId="1" applyFont="1" applyFill="1" applyBorder="1" applyAlignment="1">
      <alignment wrapText="1"/>
    </xf>
    <xf numFmtId="164" fontId="8" fillId="38" borderId="1" xfId="1" applyNumberFormat="1" applyFont="1" applyFill="1" applyBorder="1" applyAlignment="1"/>
    <xf numFmtId="171" fontId="8" fillId="38" borderId="4" xfId="1" applyNumberFormat="1" applyFont="1" applyFill="1" applyBorder="1" applyAlignment="1"/>
    <xf numFmtId="4" fontId="2" fillId="0" borderId="0" xfId="18" applyNumberFormat="1"/>
    <xf numFmtId="4" fontId="32" fillId="0" borderId="11" xfId="0" applyNumberFormat="1" applyFont="1" applyBorder="1" applyAlignment="1">
      <alignment horizontal="center" vertical="center" wrapText="1"/>
    </xf>
    <xf numFmtId="4" fontId="32" fillId="0" borderId="59" xfId="0" applyNumberFormat="1" applyFont="1" applyBorder="1" applyAlignment="1">
      <alignment horizontal="center" vertical="center"/>
    </xf>
    <xf numFmtId="4" fontId="32" fillId="0" borderId="31" xfId="0" applyNumberFormat="1" applyFont="1" applyBorder="1" applyAlignment="1">
      <alignment horizontal="center" vertical="center" wrapText="1"/>
    </xf>
    <xf numFmtId="4" fontId="32" fillId="0" borderId="18" xfId="0" applyNumberFormat="1" applyFont="1" applyFill="1" applyBorder="1" applyAlignment="1">
      <alignment horizontal="center" vertical="center" wrapText="1"/>
    </xf>
    <xf numFmtId="4" fontId="32" fillId="0" borderId="5" xfId="0" applyNumberFormat="1" applyFont="1" applyFill="1" applyBorder="1" applyAlignment="1">
      <alignment horizontal="center" vertical="center" wrapText="1"/>
    </xf>
    <xf numFmtId="4" fontId="32" fillId="0" borderId="2" xfId="0" applyNumberFormat="1" applyFont="1" applyFill="1" applyBorder="1" applyAlignment="1">
      <alignment horizontal="center" vertical="center" wrapText="1"/>
    </xf>
    <xf numFmtId="4" fontId="32" fillId="0" borderId="40" xfId="0" applyNumberFormat="1" applyFont="1" applyBorder="1" applyAlignment="1">
      <alignment horizontal="center" vertical="center"/>
    </xf>
    <xf numFmtId="4" fontId="32" fillId="0" borderId="65" xfId="0" applyNumberFormat="1" applyFont="1" applyBorder="1" applyAlignment="1">
      <alignment horizontal="center" vertical="center"/>
    </xf>
    <xf numFmtId="4" fontId="32" fillId="0" borderId="52" xfId="0" applyNumberFormat="1" applyFont="1" applyBorder="1" applyAlignment="1">
      <alignment horizontal="center" vertical="center"/>
    </xf>
    <xf numFmtId="4" fontId="32" fillId="0" borderId="45" xfId="0" applyNumberFormat="1" applyFont="1" applyBorder="1" applyAlignment="1">
      <alignment horizontal="center" vertical="center"/>
    </xf>
    <xf numFmtId="4" fontId="30" fillId="0" borderId="52" xfId="0" applyNumberFormat="1" applyFont="1" applyBorder="1" applyAlignment="1">
      <alignment horizontal="center" vertical="center"/>
    </xf>
    <xf numFmtId="4" fontId="30" fillId="0" borderId="14" xfId="0" applyNumberFormat="1" applyFont="1" applyBorder="1" applyAlignment="1">
      <alignment horizontal="center" vertical="center"/>
    </xf>
    <xf numFmtId="0" fontId="18" fillId="0" borderId="0" xfId="0" applyFont="1" applyAlignment="1">
      <alignment vertical="center"/>
    </xf>
    <xf numFmtId="2" fontId="32" fillId="0" borderId="85" xfId="0" applyNumberFormat="1" applyFont="1" applyBorder="1" applyAlignment="1">
      <alignment horizontal="center" vertical="center"/>
    </xf>
    <xf numFmtId="2" fontId="32" fillId="0" borderId="56" xfId="0" applyNumberFormat="1" applyFont="1" applyBorder="1" applyAlignment="1">
      <alignment horizontal="center" vertical="center"/>
    </xf>
    <xf numFmtId="0" fontId="21" fillId="0" borderId="18" xfId="0" applyFont="1" applyBorder="1" applyAlignment="1">
      <alignment horizontal="center"/>
    </xf>
    <xf numFmtId="0" fontId="21" fillId="0" borderId="0" xfId="0" applyFont="1" applyFill="1" applyBorder="1" applyAlignment="1">
      <alignment horizontal="right" vertical="center"/>
    </xf>
    <xf numFmtId="4" fontId="30" fillId="0" borderId="0" xfId="0" applyNumberFormat="1" applyFont="1" applyBorder="1" applyAlignment="1">
      <alignment horizontal="center" vertical="center"/>
    </xf>
    <xf numFmtId="2" fontId="32" fillId="0" borderId="0" xfId="0" applyNumberFormat="1" applyFont="1" applyBorder="1" applyAlignment="1">
      <alignment horizontal="center" vertical="center"/>
    </xf>
    <xf numFmtId="0" fontId="47" fillId="0" borderId="87" xfId="0" applyFont="1" applyFill="1" applyBorder="1" applyAlignment="1">
      <alignment horizontal="left" vertical="center" wrapText="1"/>
    </xf>
    <xf numFmtId="4" fontId="47" fillId="0" borderId="25" xfId="0" applyNumberFormat="1" applyFont="1" applyFill="1" applyBorder="1" applyAlignment="1">
      <alignment horizontal="center" vertical="center" wrapText="1"/>
    </xf>
    <xf numFmtId="10" fontId="3" fillId="0" borderId="25" xfId="0" applyNumberFormat="1" applyFont="1" applyBorder="1" applyAlignment="1">
      <alignment horizontal="center"/>
    </xf>
    <xf numFmtId="2" fontId="47" fillId="0" borderId="25" xfId="0" applyNumberFormat="1" applyFont="1" applyFill="1" applyBorder="1" applyAlignment="1">
      <alignment horizontal="center" vertical="center" wrapText="1"/>
    </xf>
    <xf numFmtId="0" fontId="47" fillId="0" borderId="25" xfId="0" applyFont="1" applyFill="1" applyBorder="1" applyAlignment="1">
      <alignment horizontal="center" vertical="center" wrapText="1"/>
    </xf>
    <xf numFmtId="0" fontId="47" fillId="0" borderId="31" xfId="0" applyFont="1" applyFill="1" applyBorder="1" applyAlignment="1">
      <alignment horizontal="center" vertical="center" wrapText="1"/>
    </xf>
    <xf numFmtId="0" fontId="48" fillId="0" borderId="77" xfId="0" applyFont="1" applyFill="1" applyBorder="1" applyAlignment="1">
      <alignment horizontal="left" vertical="center" wrapText="1"/>
    </xf>
    <xf numFmtId="4" fontId="48" fillId="0" borderId="83" xfId="0" applyNumberFormat="1" applyFont="1" applyFill="1" applyBorder="1" applyAlignment="1">
      <alignment horizontal="center" vertical="center" wrapText="1"/>
    </xf>
    <xf numFmtId="2" fontId="47" fillId="0" borderId="83" xfId="0" applyNumberFormat="1" applyFont="1" applyFill="1" applyBorder="1" applyAlignment="1">
      <alignment horizontal="center" vertical="center" wrapText="1"/>
    </xf>
    <xf numFmtId="0" fontId="47" fillId="0" borderId="83" xfId="0" applyFont="1" applyFill="1" applyBorder="1" applyAlignment="1">
      <alignment horizontal="center" vertical="center" wrapText="1"/>
    </xf>
    <xf numFmtId="0" fontId="47" fillId="0" borderId="78" xfId="0" applyFont="1" applyFill="1" applyBorder="1" applyAlignment="1">
      <alignment horizontal="center" vertical="center" wrapText="1"/>
    </xf>
    <xf numFmtId="10" fontId="3" fillId="12" borderId="25" xfId="0" applyNumberFormat="1" applyFont="1" applyFill="1" applyBorder="1" applyAlignment="1">
      <alignment horizontal="center"/>
    </xf>
    <xf numFmtId="43" fontId="48" fillId="0" borderId="83" xfId="0" applyNumberFormat="1" applyFont="1" applyFill="1" applyBorder="1" applyAlignment="1">
      <alignment horizontal="center" vertical="center" wrapText="1"/>
    </xf>
    <xf numFmtId="4" fontId="12" fillId="12" borderId="1" xfId="1" applyNumberFormat="1" applyFont="1" applyFill="1" applyBorder="1"/>
    <xf numFmtId="0" fontId="0" fillId="0" borderId="0" xfId="1" applyFont="1" applyBorder="1"/>
    <xf numFmtId="0" fontId="47" fillId="0" borderId="0" xfId="0" applyFont="1" applyAlignment="1">
      <alignment horizontal="right"/>
    </xf>
    <xf numFmtId="0" fontId="47" fillId="0" borderId="16" xfId="0" applyFont="1" applyFill="1" applyBorder="1" applyAlignment="1">
      <alignment horizontal="center" vertical="top" wrapText="1"/>
    </xf>
    <xf numFmtId="0" fontId="47" fillId="0" borderId="8" xfId="0" applyFont="1" applyFill="1" applyBorder="1" applyAlignment="1">
      <alignment horizontal="center" vertical="top" wrapText="1"/>
    </xf>
    <xf numFmtId="0" fontId="47" fillId="0" borderId="17" xfId="0" applyFont="1" applyFill="1" applyBorder="1" applyAlignment="1">
      <alignment horizontal="center" vertical="top" wrapText="1"/>
    </xf>
    <xf numFmtId="0" fontId="47" fillId="0" borderId="1" xfId="0" applyFont="1" applyFill="1" applyBorder="1" applyAlignment="1">
      <alignment horizontal="center" vertical="top" wrapText="1"/>
    </xf>
    <xf numFmtId="0" fontId="48" fillId="0" borderId="41" xfId="0" applyFont="1" applyFill="1" applyBorder="1" applyAlignment="1">
      <alignment horizontal="left" vertical="center" wrapText="1"/>
    </xf>
    <xf numFmtId="0" fontId="48" fillId="0" borderId="27" xfId="0" applyFont="1" applyFill="1" applyBorder="1" applyAlignment="1">
      <alignment horizontal="left" vertical="center" wrapText="1"/>
    </xf>
    <xf numFmtId="0" fontId="48" fillId="0" borderId="42" xfId="0" applyFont="1" applyFill="1" applyBorder="1" applyAlignment="1">
      <alignment horizontal="left" vertical="center" wrapText="1"/>
    </xf>
    <xf numFmtId="0" fontId="48" fillId="0" borderId="0" xfId="0" applyFont="1" applyFill="1" applyBorder="1" applyAlignment="1">
      <alignment horizontal="right"/>
    </xf>
    <xf numFmtId="0" fontId="47" fillId="0" borderId="18" xfId="0" applyFont="1" applyFill="1" applyBorder="1" applyAlignment="1">
      <alignment horizontal="center" vertical="top" wrapText="1"/>
    </xf>
    <xf numFmtId="0" fontId="47" fillId="0" borderId="5" xfId="0" applyFont="1" applyFill="1" applyBorder="1" applyAlignment="1">
      <alignment horizontal="center" vertical="top" wrapText="1"/>
    </xf>
    <xf numFmtId="0" fontId="47" fillId="0" borderId="31" xfId="0" applyFont="1" applyFill="1" applyBorder="1" applyAlignment="1">
      <alignment horizontal="center" vertical="top" wrapText="1"/>
    </xf>
    <xf numFmtId="0" fontId="47" fillId="0" borderId="13" xfId="0" applyFont="1" applyFill="1" applyBorder="1" applyAlignment="1">
      <alignment horizontal="center" vertical="top" wrapText="1"/>
    </xf>
    <xf numFmtId="0" fontId="48" fillId="0" borderId="64" xfId="0" applyFont="1" applyFill="1" applyBorder="1" applyAlignment="1">
      <alignment horizontal="left" vertical="center" wrapText="1"/>
    </xf>
    <xf numFmtId="0" fontId="48" fillId="0" borderId="59" xfId="0" applyFont="1" applyFill="1" applyBorder="1" applyAlignment="1">
      <alignment horizontal="left" vertical="center" wrapText="1"/>
    </xf>
    <xf numFmtId="0" fontId="48" fillId="0" borderId="65" xfId="0" applyFont="1" applyFill="1" applyBorder="1" applyAlignment="1">
      <alignment horizontal="left" vertical="center" wrapText="1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center"/>
    </xf>
    <xf numFmtId="0" fontId="26" fillId="0" borderId="37" xfId="0" applyFont="1" applyBorder="1" applyAlignment="1">
      <alignment horizontal="center" vertical="center" wrapText="1"/>
    </xf>
    <xf numFmtId="0" fontId="26" fillId="0" borderId="52" xfId="0" applyFont="1" applyBorder="1" applyAlignment="1">
      <alignment horizontal="center" vertical="center" wrapText="1"/>
    </xf>
    <xf numFmtId="0" fontId="26" fillId="0" borderId="32" xfId="0" applyFont="1" applyFill="1" applyBorder="1" applyAlignment="1">
      <alignment horizontal="center" vertical="center" wrapText="1"/>
    </xf>
    <xf numFmtId="0" fontId="26" fillId="0" borderId="34" xfId="0" applyFont="1" applyFill="1" applyBorder="1" applyAlignment="1">
      <alignment horizontal="center" vertical="center" wrapText="1"/>
    </xf>
    <xf numFmtId="0" fontId="26" fillId="0" borderId="47" xfId="0" applyFont="1" applyFill="1" applyBorder="1" applyAlignment="1">
      <alignment horizontal="center" vertical="center" wrapText="1"/>
    </xf>
    <xf numFmtId="0" fontId="26" fillId="0" borderId="36" xfId="0" applyFont="1" applyFill="1" applyBorder="1" applyAlignment="1">
      <alignment horizontal="center" vertical="center" wrapText="1"/>
    </xf>
    <xf numFmtId="4" fontId="21" fillId="0" borderId="48" xfId="0" applyNumberFormat="1" applyFont="1" applyBorder="1" applyAlignment="1">
      <alignment horizontal="center"/>
    </xf>
    <xf numFmtId="4" fontId="21" fillId="0" borderId="40" xfId="0" applyNumberFormat="1" applyFont="1" applyBorder="1" applyAlignment="1">
      <alignment horizontal="center"/>
    </xf>
    <xf numFmtId="4" fontId="21" fillId="0" borderId="48" xfId="0" applyNumberFormat="1" applyFont="1" applyFill="1" applyBorder="1" applyAlignment="1">
      <alignment horizontal="center"/>
    </xf>
    <xf numFmtId="4" fontId="21" fillId="0" borderId="40" xfId="0" applyNumberFormat="1" applyFont="1" applyFill="1" applyBorder="1" applyAlignment="1">
      <alignment horizontal="center"/>
    </xf>
    <xf numFmtId="4" fontId="21" fillId="0" borderId="39" xfId="0" applyNumberFormat="1" applyFont="1" applyBorder="1" applyAlignment="1">
      <alignment horizontal="center"/>
    </xf>
    <xf numFmtId="0" fontId="41" fillId="0" borderId="47" xfId="0" applyFont="1" applyBorder="1" applyAlignment="1">
      <alignment horizontal="center" vertical="center" wrapText="1"/>
    </xf>
    <xf numFmtId="0" fontId="41" fillId="0" borderId="36" xfId="0" applyFont="1" applyBorder="1" applyAlignment="1">
      <alignment horizontal="center" vertical="center" wrapText="1"/>
    </xf>
    <xf numFmtId="0" fontId="21" fillId="0" borderId="81" xfId="0" applyFont="1" applyFill="1" applyBorder="1" applyAlignment="1">
      <alignment horizontal="right" vertical="center"/>
    </xf>
    <xf numFmtId="0" fontId="21" fillId="0" borderId="86" xfId="0" applyFont="1" applyFill="1" applyBorder="1" applyAlignment="1">
      <alignment horizontal="right" vertical="center"/>
    </xf>
    <xf numFmtId="0" fontId="21" fillId="0" borderId="82" xfId="0" applyFont="1" applyFill="1" applyBorder="1" applyAlignment="1">
      <alignment horizontal="right" vertical="center"/>
    </xf>
    <xf numFmtId="0" fontId="41" fillId="0" borderId="30" xfId="0" applyFont="1" applyBorder="1" applyAlignment="1">
      <alignment horizontal="center" vertical="center" wrapText="1"/>
    </xf>
    <xf numFmtId="0" fontId="41" fillId="0" borderId="45" xfId="0" applyFont="1" applyBorder="1" applyAlignment="1">
      <alignment horizontal="center" vertical="center" wrapText="1"/>
    </xf>
    <xf numFmtId="0" fontId="17" fillId="0" borderId="0" xfId="0" applyFont="1" applyAlignment="1">
      <alignment horizontal="right"/>
    </xf>
    <xf numFmtId="0" fontId="26" fillId="0" borderId="0" xfId="0" applyFont="1" applyAlignment="1">
      <alignment horizontal="center"/>
    </xf>
    <xf numFmtId="0" fontId="21" fillId="0" borderId="25" xfId="0" applyFont="1" applyBorder="1" applyAlignment="1">
      <alignment horizontal="center"/>
    </xf>
    <xf numFmtId="0" fontId="21" fillId="0" borderId="26" xfId="0" applyFont="1" applyBorder="1" applyAlignment="1">
      <alignment horizontal="center"/>
    </xf>
    <xf numFmtId="0" fontId="21" fillId="0" borderId="25" xfId="0" applyFont="1" applyBorder="1" applyAlignment="1">
      <alignment horizontal="center" vertical="center"/>
    </xf>
    <xf numFmtId="0" fontId="21" fillId="0" borderId="26" xfId="0" applyFont="1" applyBorder="1" applyAlignment="1">
      <alignment horizontal="center" vertical="center"/>
    </xf>
    <xf numFmtId="0" fontId="21" fillId="0" borderId="12" xfId="0" applyFont="1" applyBorder="1" applyAlignment="1">
      <alignment horizontal="center" vertical="center"/>
    </xf>
    <xf numFmtId="43" fontId="21" fillId="0" borderId="4" xfId="0" applyNumberFormat="1" applyFont="1" applyBorder="1" applyAlignment="1">
      <alignment horizontal="center" wrapText="1"/>
    </xf>
    <xf numFmtId="43" fontId="21" fillId="0" borderId="27" xfId="0" applyNumberFormat="1" applyFont="1" applyBorder="1" applyAlignment="1">
      <alignment horizontal="center" wrapText="1"/>
    </xf>
    <xf numFmtId="43" fontId="21" fillId="0" borderId="6" xfId="0" applyNumberFormat="1" applyFont="1" applyBorder="1" applyAlignment="1">
      <alignment horizontal="center" wrapText="1"/>
    </xf>
    <xf numFmtId="0" fontId="48" fillId="0" borderId="41" xfId="0" applyFont="1" applyFill="1" applyBorder="1" applyAlignment="1">
      <alignment horizontal="left" wrapText="1"/>
    </xf>
    <xf numFmtId="0" fontId="48" fillId="0" borderId="27" xfId="0" applyFont="1" applyFill="1" applyBorder="1" applyAlignment="1">
      <alignment horizontal="left" wrapText="1"/>
    </xf>
    <xf numFmtId="0" fontId="48" fillId="0" borderId="42" xfId="0" applyFont="1" applyFill="1" applyBorder="1" applyAlignment="1">
      <alignment horizontal="left" wrapText="1"/>
    </xf>
    <xf numFmtId="0" fontId="48" fillId="0" borderId="48" xfId="0" applyFont="1" applyFill="1" applyBorder="1" applyAlignment="1">
      <alignment horizontal="left" wrapText="1"/>
    </xf>
    <xf numFmtId="0" fontId="48" fillId="0" borderId="39" xfId="0" applyFont="1" applyFill="1" applyBorder="1" applyAlignment="1">
      <alignment horizontal="left" wrapText="1"/>
    </xf>
    <xf numFmtId="0" fontId="48" fillId="0" borderId="40" xfId="0" applyFont="1" applyFill="1" applyBorder="1" applyAlignment="1">
      <alignment horizontal="left" wrapText="1"/>
    </xf>
    <xf numFmtId="4" fontId="6" fillId="0" borderId="29" xfId="0" applyNumberFormat="1" applyFont="1" applyFill="1" applyBorder="1" applyAlignment="1">
      <alignment horizontal="center" vertical="center"/>
    </xf>
    <xf numFmtId="4" fontId="6" fillId="0" borderId="30" xfId="0" applyNumberFormat="1" applyFont="1" applyFill="1" applyBorder="1" applyAlignment="1">
      <alignment horizontal="center" vertical="center"/>
    </xf>
    <xf numFmtId="4" fontId="6" fillId="0" borderId="44" xfId="0" applyNumberFormat="1" applyFont="1" applyFill="1" applyBorder="1" applyAlignment="1">
      <alignment horizontal="center" vertical="center"/>
    </xf>
    <xf numFmtId="4" fontId="6" fillId="0" borderId="45" xfId="0" applyNumberFormat="1" applyFont="1" applyFill="1" applyBorder="1" applyAlignment="1">
      <alignment horizontal="center" vertical="center"/>
    </xf>
    <xf numFmtId="4" fontId="6" fillId="0" borderId="32" xfId="0" applyNumberFormat="1" applyFont="1" applyFill="1" applyBorder="1" applyAlignment="1">
      <alignment horizontal="center" textRotation="255" wrapText="1"/>
    </xf>
    <xf numFmtId="4" fontId="6" fillId="0" borderId="34" xfId="0" applyNumberFormat="1" applyFont="1" applyFill="1" applyBorder="1" applyAlignment="1">
      <alignment horizontal="center" textRotation="255" wrapText="1"/>
    </xf>
    <xf numFmtId="0" fontId="6" fillId="0" borderId="25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31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4" fontId="6" fillId="0" borderId="47" xfId="0" applyNumberFormat="1" applyFont="1" applyFill="1" applyBorder="1" applyAlignment="1">
      <alignment horizontal="center" textRotation="255" wrapText="1"/>
    </xf>
    <xf numFmtId="4" fontId="6" fillId="0" borderId="36" xfId="0" applyNumberFormat="1" applyFont="1" applyFill="1" applyBorder="1" applyAlignment="1">
      <alignment horizontal="center" textRotation="255" wrapText="1"/>
    </xf>
    <xf numFmtId="4" fontId="6" fillId="0" borderId="33" xfId="0" applyNumberFormat="1" applyFont="1" applyFill="1" applyBorder="1" applyAlignment="1">
      <alignment horizontal="center" textRotation="255" wrapText="1"/>
    </xf>
    <xf numFmtId="4" fontId="6" fillId="0" borderId="35" xfId="0" applyNumberFormat="1" applyFont="1" applyFill="1" applyBorder="1" applyAlignment="1">
      <alignment horizontal="center" textRotation="255" wrapText="1"/>
    </xf>
    <xf numFmtId="166" fontId="6" fillId="0" borderId="24" xfId="0" applyNumberFormat="1" applyFont="1" applyFill="1" applyBorder="1" applyAlignment="1">
      <alignment horizontal="center" textRotation="255" wrapText="1"/>
    </xf>
    <xf numFmtId="166" fontId="6" fillId="0" borderId="28" xfId="0" applyNumberFormat="1" applyFont="1" applyFill="1" applyBorder="1" applyAlignment="1">
      <alignment horizontal="center" textRotation="255" wrapText="1"/>
    </xf>
    <xf numFmtId="4" fontId="6" fillId="28" borderId="29" xfId="0" applyNumberFormat="1" applyFont="1" applyFill="1" applyBorder="1" applyAlignment="1">
      <alignment horizontal="center" vertical="center"/>
    </xf>
    <xf numFmtId="4" fontId="6" fillId="28" borderId="30" xfId="0" applyNumberFormat="1" applyFont="1" applyFill="1" applyBorder="1" applyAlignment="1">
      <alignment horizontal="center" vertical="center"/>
    </xf>
    <xf numFmtId="4" fontId="6" fillId="28" borderId="44" xfId="0" applyNumberFormat="1" applyFont="1" applyFill="1" applyBorder="1" applyAlignment="1">
      <alignment horizontal="center" vertical="center"/>
    </xf>
    <xf numFmtId="4" fontId="6" fillId="28" borderId="45" xfId="0" applyNumberFormat="1" applyFont="1" applyFill="1" applyBorder="1" applyAlignment="1">
      <alignment horizontal="center" vertical="center"/>
    </xf>
    <xf numFmtId="4" fontId="6" fillId="13" borderId="29" xfId="0" applyNumberFormat="1" applyFont="1" applyFill="1" applyBorder="1" applyAlignment="1">
      <alignment horizontal="center" vertical="center"/>
    </xf>
    <xf numFmtId="4" fontId="6" fillId="13" borderId="30" xfId="0" applyNumberFormat="1" applyFont="1" applyFill="1" applyBorder="1" applyAlignment="1">
      <alignment horizontal="center" vertical="center"/>
    </xf>
    <xf numFmtId="4" fontId="6" fillId="13" borderId="44" xfId="0" applyNumberFormat="1" applyFont="1" applyFill="1" applyBorder="1" applyAlignment="1">
      <alignment horizontal="center" vertical="center"/>
    </xf>
    <xf numFmtId="4" fontId="6" fillId="13" borderId="45" xfId="0" applyNumberFormat="1" applyFont="1" applyFill="1" applyBorder="1" applyAlignment="1">
      <alignment horizontal="center" vertical="center"/>
    </xf>
    <xf numFmtId="0" fontId="41" fillId="9" borderId="1" xfId="1" applyFont="1" applyFill="1" applyBorder="1" applyAlignment="1">
      <alignment horizontal="left" vertical="top" wrapText="1"/>
    </xf>
    <xf numFmtId="0" fontId="58" fillId="0" borderId="1" xfId="1" applyFont="1" applyBorder="1" applyAlignment="1">
      <alignment horizontal="left" wrapText="1"/>
    </xf>
    <xf numFmtId="10" fontId="58" fillId="9" borderId="1" xfId="1" applyNumberFormat="1" applyFont="1" applyFill="1" applyBorder="1" applyAlignment="1">
      <alignment horizontal="left" wrapText="1"/>
    </xf>
    <xf numFmtId="0" fontId="2" fillId="0" borderId="0" xfId="1" applyFont="1" applyAlignment="1">
      <alignment horizontal="center" wrapText="1"/>
    </xf>
    <xf numFmtId="166" fontId="6" fillId="0" borderId="29" xfId="0" applyNumberFormat="1" applyFont="1" applyFill="1" applyBorder="1" applyAlignment="1">
      <alignment horizontal="center" textRotation="255" wrapText="1"/>
    </xf>
    <xf numFmtId="166" fontId="6" fillId="0" borderId="44" xfId="0" applyNumberFormat="1" applyFont="1" applyFill="1" applyBorder="1" applyAlignment="1">
      <alignment horizontal="center" textRotation="255" wrapText="1"/>
    </xf>
    <xf numFmtId="4" fontId="6" fillId="0" borderId="73" xfId="0" applyNumberFormat="1" applyFont="1" applyFill="1" applyBorder="1" applyAlignment="1">
      <alignment horizontal="center" vertical="center"/>
    </xf>
    <xf numFmtId="4" fontId="6" fillId="0" borderId="74" xfId="0" applyNumberFormat="1" applyFont="1" applyFill="1" applyBorder="1" applyAlignment="1">
      <alignment horizontal="center" vertical="center"/>
    </xf>
    <xf numFmtId="4" fontId="6" fillId="0" borderId="37" xfId="0" applyNumberFormat="1" applyFont="1" applyFill="1" applyBorder="1" applyAlignment="1">
      <alignment horizontal="center" textRotation="255" wrapText="1"/>
    </xf>
    <xf numFmtId="4" fontId="6" fillId="0" borderId="52" xfId="0" applyNumberFormat="1" applyFont="1" applyFill="1" applyBorder="1" applyAlignment="1">
      <alignment horizontal="center" textRotation="255" wrapText="1"/>
    </xf>
    <xf numFmtId="4" fontId="6" fillId="0" borderId="38" xfId="0" applyNumberFormat="1" applyFont="1" applyFill="1" applyBorder="1" applyAlignment="1">
      <alignment horizontal="center" textRotation="255" wrapText="1"/>
    </xf>
    <xf numFmtId="4" fontId="6" fillId="0" borderId="46" xfId="0" applyNumberFormat="1" applyFont="1" applyFill="1" applyBorder="1" applyAlignment="1">
      <alignment horizontal="center" textRotation="255" wrapText="1"/>
    </xf>
    <xf numFmtId="0" fontId="51" fillId="0" borderId="0" xfId="0" applyFont="1" applyFill="1" applyBorder="1" applyAlignment="1" applyProtection="1">
      <alignment horizontal="left" vertical="center" wrapText="1"/>
      <protection locked="0"/>
    </xf>
    <xf numFmtId="0" fontId="61" fillId="0" borderId="0" xfId="0" applyFont="1" applyAlignment="1">
      <alignment horizontal="left"/>
    </xf>
    <xf numFmtId="0" fontId="62" fillId="0" borderId="0" xfId="0" applyFont="1" applyAlignment="1">
      <alignment horizontal="center" wrapText="1"/>
    </xf>
    <xf numFmtId="0" fontId="0" fillId="0" borderId="0" xfId="0" applyAlignment="1"/>
    <xf numFmtId="0" fontId="60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60" fillId="0" borderId="0" xfId="0" applyFont="1" applyFill="1" applyAlignment="1">
      <alignment horizontal="center" wrapText="1"/>
    </xf>
    <xf numFmtId="0" fontId="0" fillId="0" borderId="0" xfId="0" applyFill="1" applyAlignment="1">
      <alignment horizontal="center" wrapText="1"/>
    </xf>
    <xf numFmtId="0" fontId="0" fillId="0" borderId="0" xfId="0" applyFill="1" applyAlignment="1"/>
    <xf numFmtId="0" fontId="61" fillId="0" borderId="1" xfId="0" applyFont="1" applyBorder="1" applyAlignment="1">
      <alignment horizontal="center" wrapText="1"/>
    </xf>
    <xf numFmtId="49" fontId="61" fillId="0" borderId="25" xfId="0" applyNumberFormat="1" applyFont="1" applyBorder="1" applyAlignment="1">
      <alignment horizontal="center" vertical="center"/>
    </xf>
    <xf numFmtId="49" fontId="61" fillId="0" borderId="26" xfId="0" applyNumberFormat="1" applyFont="1" applyBorder="1" applyAlignment="1">
      <alignment horizontal="center" vertical="center"/>
    </xf>
    <xf numFmtId="49" fontId="61" fillId="0" borderId="25" xfId="0" applyNumberFormat="1" applyFont="1" applyBorder="1" applyAlignment="1">
      <alignment horizontal="center" vertical="center" wrapText="1"/>
    </xf>
    <xf numFmtId="49" fontId="61" fillId="0" borderId="58" xfId="0" applyNumberFormat="1" applyFont="1" applyBorder="1" applyAlignment="1">
      <alignment horizontal="center" vertical="center" wrapText="1"/>
    </xf>
    <xf numFmtId="0" fontId="61" fillId="0" borderId="4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49" fontId="21" fillId="0" borderId="27" xfId="0" applyNumberFormat="1" applyFont="1" applyFill="1" applyBorder="1" applyAlignment="1">
      <alignment horizontal="center"/>
    </xf>
    <xf numFmtId="49" fontId="21" fillId="0" borderId="6" xfId="0" applyNumberFormat="1" applyFont="1" applyFill="1" applyBorder="1" applyAlignment="1">
      <alignment horizontal="center"/>
    </xf>
    <xf numFmtId="0" fontId="17" fillId="0" borderId="0" xfId="0" applyFont="1" applyFill="1" applyAlignment="1">
      <alignment horizontal="left" vertical="top" wrapText="1"/>
    </xf>
    <xf numFmtId="0" fontId="17" fillId="0" borderId="0" xfId="0" applyFont="1" applyFill="1" applyAlignment="1">
      <alignment horizontal="left" vertical="center" wrapText="1"/>
    </xf>
    <xf numFmtId="0" fontId="17" fillId="0" borderId="0" xfId="0" applyFont="1" applyFill="1" applyAlignment="1">
      <alignment horizontal="right"/>
    </xf>
    <xf numFmtId="49" fontId="64" fillId="0" borderId="25" xfId="0" applyNumberFormat="1" applyFont="1" applyBorder="1" applyAlignment="1">
      <alignment horizontal="center" vertical="center" wrapText="1"/>
    </xf>
    <xf numFmtId="49" fontId="64" fillId="0" borderId="26" xfId="0" applyNumberFormat="1" applyFont="1" applyBorder="1" applyAlignment="1">
      <alignment horizontal="center" vertical="center" wrapText="1"/>
    </xf>
    <xf numFmtId="49" fontId="64" fillId="0" borderId="12" xfId="0" applyNumberFormat="1" applyFont="1" applyBorder="1" applyAlignment="1">
      <alignment horizontal="center" vertical="center" wrapText="1"/>
    </xf>
    <xf numFmtId="49" fontId="27" fillId="0" borderId="0" xfId="0" applyNumberFormat="1" applyFont="1" applyAlignment="1">
      <alignment horizontal="center" vertical="top" wrapText="1"/>
    </xf>
    <xf numFmtId="49" fontId="27" fillId="0" borderId="0" xfId="0" applyNumberFormat="1" applyFont="1" applyFill="1" applyAlignment="1">
      <alignment horizontal="center" vertical="top" wrapText="1"/>
    </xf>
    <xf numFmtId="49" fontId="70" fillId="0" borderId="0" xfId="0" applyNumberFormat="1" applyFont="1" applyAlignment="1">
      <alignment horizontal="center" vertical="top" wrapText="1"/>
    </xf>
    <xf numFmtId="49" fontId="64" fillId="0" borderId="27" xfId="0" applyNumberFormat="1" applyFont="1" applyBorder="1" applyAlignment="1">
      <alignment horizontal="center" vertical="top" wrapText="1"/>
    </xf>
    <xf numFmtId="49" fontId="71" fillId="0" borderId="27" xfId="0" applyNumberFormat="1" applyFont="1" applyBorder="1" applyAlignment="1">
      <alignment horizontal="center" vertical="top" wrapText="1"/>
    </xf>
    <xf numFmtId="49" fontId="71" fillId="0" borderId="6" xfId="0" applyNumberFormat="1" applyFont="1" applyBorder="1" applyAlignment="1">
      <alignment horizontal="center" vertical="top" wrapText="1"/>
    </xf>
    <xf numFmtId="49" fontId="0" fillId="0" borderId="26" xfId="0" applyNumberFormat="1" applyBorder="1" applyAlignment="1">
      <alignment horizontal="center" vertical="center" wrapText="1"/>
    </xf>
    <xf numFmtId="49" fontId="0" fillId="0" borderId="76" xfId="0" applyNumberFormat="1" applyBorder="1" applyAlignment="1">
      <alignment horizontal="center" vertical="center" wrapText="1"/>
    </xf>
    <xf numFmtId="49" fontId="0" fillId="0" borderId="14" xfId="0" applyNumberFormat="1" applyBorder="1" applyAlignment="1">
      <alignment horizontal="center" vertical="center" wrapText="1"/>
    </xf>
    <xf numFmtId="49" fontId="64" fillId="0" borderId="6" xfId="0" applyNumberFormat="1" applyFont="1" applyBorder="1" applyAlignment="1">
      <alignment horizontal="center" vertical="top" wrapText="1"/>
    </xf>
    <xf numFmtId="49" fontId="64" fillId="0" borderId="4" xfId="0" applyNumberFormat="1" applyFont="1" applyBorder="1" applyAlignment="1">
      <alignment horizontal="center" vertical="top" wrapText="1"/>
    </xf>
    <xf numFmtId="0" fontId="67" fillId="0" borderId="0" xfId="17" applyFill="1" applyBorder="1" applyAlignment="1">
      <alignment horizontal="center"/>
    </xf>
    <xf numFmtId="0" fontId="17" fillId="0" borderId="0" xfId="17" applyFont="1" applyFill="1" applyBorder="1" applyAlignment="1">
      <alignment horizontal="center" vertical="center" wrapText="1"/>
    </xf>
    <xf numFmtId="0" fontId="17" fillId="0" borderId="59" xfId="0" applyFont="1" applyBorder="1" applyAlignment="1">
      <alignment horizontal="center" vertical="center" wrapText="1"/>
    </xf>
    <xf numFmtId="0" fontId="18" fillId="0" borderId="0" xfId="0" applyFont="1" applyAlignment="1">
      <alignment horizontal="left" vertical="top"/>
    </xf>
    <xf numFmtId="0" fontId="0" fillId="0" borderId="0" xfId="0" applyAlignment="1">
      <alignment horizontal="left"/>
    </xf>
    <xf numFmtId="0" fontId="17" fillId="0" borderId="0" xfId="0" applyFont="1" applyAlignment="1">
      <alignment horizontal="right" vertical="top"/>
    </xf>
    <xf numFmtId="0" fontId="0" fillId="0" borderId="0" xfId="0" applyAlignment="1">
      <alignment horizontal="right"/>
    </xf>
    <xf numFmtId="0" fontId="75" fillId="0" borderId="0" xfId="0" applyFont="1" applyAlignment="1">
      <alignment horizontal="center" vertical="center"/>
    </xf>
    <xf numFmtId="0" fontId="75" fillId="0" borderId="0" xfId="0" applyFont="1" applyAlignment="1">
      <alignment horizontal="left" vertical="top" wrapText="1"/>
    </xf>
    <xf numFmtId="0" fontId="75" fillId="0" borderId="0" xfId="0" applyFont="1" applyAlignment="1">
      <alignment horizontal="left" vertical="top"/>
    </xf>
    <xf numFmtId="0" fontId="17" fillId="0" borderId="25" xfId="0" applyFont="1" applyBorder="1" applyAlignment="1">
      <alignment horizontal="center" vertical="center" wrapText="1"/>
    </xf>
    <xf numFmtId="0" fontId="17" fillId="0" borderId="26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</cellXfs>
  <cellStyles count="19">
    <cellStyle name="_Специф_РНТ2" xfId="8"/>
    <cellStyle name="Normal_ATI" xfId="9"/>
    <cellStyle name="Option" xfId="10"/>
    <cellStyle name="Price" xfId="11"/>
    <cellStyle name="Unit" xfId="12"/>
    <cellStyle name="Денежный" xfId="16" builtinId="4"/>
    <cellStyle name="Обычный" xfId="0" builtinId="0"/>
    <cellStyle name="Обычный 2" xfId="1"/>
    <cellStyle name="Обычный 2 2" xfId="6"/>
    <cellStyle name="Обычный 2 3" xfId="13"/>
    <cellStyle name="Обычный 3" xfId="2"/>
    <cellStyle name="Обычный 4" xfId="5"/>
    <cellStyle name="Обычный 5" xfId="15"/>
    <cellStyle name="Обычный_04-ОЦ 1 эт. " xfId="17"/>
    <cellStyle name="Обычный_Лист1" xfId="3"/>
    <cellStyle name="Обычный_СОЦ Б7_РСОД_тв" xfId="18"/>
    <cellStyle name="Стиль 1" xfId="7"/>
    <cellStyle name="текстовый" xfId="14"/>
    <cellStyle name="Финансовый 2" xfId="4"/>
  </cellStyles>
  <dxfs count="0"/>
  <tableStyles count="0" defaultTableStyle="TableStyleMedium9" defaultPivotStyle="PivotStyleLight16"/>
  <colors>
    <mruColors>
      <color rgb="FFCC3399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3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6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2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externalLink" Target="externalLinks/externalLink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7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ublic/Larisa/&#1047;&#1055;%20201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2240/16/&#1042;&#1085;&#1080;&#1084;&#1072;&#1085;&#1080;&#1077;/20120226%20&#1092;&#1080;&#1085;&#1082;&#1086;&#1084;&#1087;&#1083;&#1077;&#1082;&#1090;%20&#1090;&#1088;&#1077;&#1090;&#1080;&#1081;%20&#1101;&#1090;&#1072;&#1087;/&#1047;&#1055;%20201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nsveta/LOCALS~1/Temp/&#1047;&#1055;%20201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ivtsov\d\WORKS\&#1058;&#1069;&#1055;\&#1069;&#1082;&#1086;&#1085;&#1086;&#1084;&#1080;&#1082;&#1072;\16%20&#1059;&#1087;&#1088;&#1072;&#1074;&#1083;&#1077;&#1085;&#1080;&#1077;\&#1057;&#1086;&#1087;&#1077;&#1088;&#1085;&#1080;&#1082;\&#1069;&#1090;&#1072;&#1087;3\&#1044;&#1086;&#1087;.&#1089;&#1086;&#1075;&#1083;\&#1054;&#1050;&#1056;-&#1057;&#1086;&#1087;&#1077;&#1088;&#1085;&#1080;&#1082;-&#1101;&#1090;3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nsveta/Desktop/Sveta/&#1044;&#1086;&#1075;&#1086;&#1074;&#1086;&#1088;&#1072;%20&#1080;%20&#1092;&#1080;&#1085;&#1086;&#1090;&#1095;&#1077;&#1090;&#1085;&#1086;&#1089;&#1090;&#1100;/&#1055;&#1088;&#1086;&#1077;&#1082;&#1090;&#1099;/&#1056;&#1077;&#1072;&#1083;&#1080;&#1089;&#1090;/&#1050;&#1086;&#1087;&#1080;&#1103;%20&#1056;&#1077;&#1072;&#1083;&#1080;&#1089;&#1090;%20&#1060;&#1054;%20&#1079;&#1072;%201%20&#1084;&#1077;&#1089;&#1103;&#1094;-20121116-1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raus/AppData/Local/Temp/bat/&#1053;&#1056;%202012_2012103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raus/AppData/Local/Temp/bat/&#1060;&#1054;&#1058;%202012_&#1076;&#1086;%20&#1082;&#1086;&#1085;&#1094;&#1072;%20&#1075;&#1086;&#1076;&#1072;-&#1087;&#1088;&#1077;&#1084;&#1080;&#1080;-2012112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Численность общая 2011"/>
      <sheetName val="ПЕРЕСЧЕТ регресса и СВ 2011 "/>
      <sheetName val="СВ 2011"/>
      <sheetName val="Лист1"/>
      <sheetName val="Лист2"/>
    </sheetNames>
    <sheetDataSet>
      <sheetData sheetId="0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Численность общая 2011"/>
      <sheetName val="ПЕРЕСЧЕТ регресса и СВ 2011 "/>
      <sheetName val="СВ 2011"/>
      <sheetName val="Лист1"/>
      <sheetName val="Лист2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Численность общая 2011"/>
      <sheetName val="ПЕРЕСЧЕТ регресса и СВ 2011 "/>
      <sheetName val="СВ 2011"/>
      <sheetName val="Лист1"/>
      <sheetName val="Лист2"/>
    </sheetNames>
    <sheetDataSet>
      <sheetData sheetId="0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говор"/>
      <sheetName val="Доп_согл"/>
      <sheetName val="Протокол"/>
      <sheetName val="Протокол (мод 1-1)Мал"/>
      <sheetName val="Протокол (мод 1-1)Мар"/>
      <sheetName val="п.зап."/>
      <sheetName val="структ_цен"/>
      <sheetName val="Спец_об"/>
      <sheetName val="материалы"/>
      <sheetName val="материалы (2)"/>
      <sheetName val="труд - ть"/>
      <sheetName val="расш_зарпл."/>
      <sheetName val="к_агенты"/>
      <sheetName val="ком."/>
      <sheetName val="закл_ПЗ"/>
      <sheetName val="закл_ПЗ (мод1-1)"/>
      <sheetName val="Сопр_письмо"/>
      <sheetName val="Сопр_письмо (К-А)"/>
      <sheetName val="Сопр_письмо (факт_затр)"/>
      <sheetName val="Воронеж_к-а"/>
      <sheetName val="материалы. (факт)"/>
    </sheetNames>
    <sheetDataSet>
      <sheetData sheetId="0">
        <row r="242">
          <cell r="B242">
            <v>2500000</v>
          </cell>
        </row>
        <row r="246">
          <cell r="B246">
            <v>300000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рточка затрат на отправку"/>
      <sheetName val="Пр 1 ЗП"/>
      <sheetName val="Пр 2 НР"/>
      <sheetName val="КЗ"/>
      <sheetName val="По проектам 2011-2012"/>
      <sheetName val="накладные"/>
      <sheetName val="По Реалист"/>
      <sheetName val="Ожидаемые год"/>
      <sheetName val="ФОТ 2012"/>
      <sheetName val="Трудоемкость"/>
      <sheetName val="ФОТ 2012 (старый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5">
          <cell r="D5" t="str">
            <v>Аналилик</v>
          </cell>
        </row>
        <row r="17">
          <cell r="CE17">
            <v>0</v>
          </cell>
        </row>
      </sheetData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квартал 2012"/>
      <sheetName val="2 квартал 2012"/>
      <sheetName val="3 кв 2012"/>
      <sheetName val="4 кв Ожид. 2012"/>
      <sheetName val="Ожидаемые год"/>
      <sheetName val="ФОТ 2012"/>
      <sheetName val="ФОТ до конца года"/>
      <sheetName val="найм"/>
      <sheetName val="помесячно"/>
      <sheetName val="3 КВАРТАЛ 12"/>
      <sheetName val="4 квартал 12"/>
      <sheetName val="найм 2012-старый"/>
    </sheetNames>
    <sheetDataSet>
      <sheetData sheetId="0" refreshError="1">
        <row r="21">
          <cell r="G21">
            <v>19858.47</v>
          </cell>
        </row>
        <row r="27">
          <cell r="B27">
            <v>1334631.07</v>
          </cell>
          <cell r="G27">
            <v>1912089.19</v>
          </cell>
          <cell r="L27">
            <v>1878596.2</v>
          </cell>
        </row>
        <row r="37">
          <cell r="B37">
            <v>432805.21</v>
          </cell>
          <cell r="C37">
            <v>432805.21</v>
          </cell>
          <cell r="D37">
            <v>785488.98</v>
          </cell>
        </row>
        <row r="38">
          <cell r="B38">
            <v>281267.53000000003</v>
          </cell>
          <cell r="C38">
            <v>281267.53000000003</v>
          </cell>
          <cell r="D38">
            <v>460024.33</v>
          </cell>
        </row>
        <row r="39">
          <cell r="B39">
            <v>50549.73</v>
          </cell>
          <cell r="C39">
            <v>149267.70000000001</v>
          </cell>
          <cell r="D39">
            <v>220395.93</v>
          </cell>
        </row>
        <row r="40">
          <cell r="B40">
            <v>34798.36</v>
          </cell>
          <cell r="C40">
            <v>37851.43</v>
          </cell>
          <cell r="D40">
            <v>56691.38</v>
          </cell>
        </row>
        <row r="41">
          <cell r="B41">
            <v>15166.63</v>
          </cell>
          <cell r="C41">
            <v>26508.15</v>
          </cell>
          <cell r="D41">
            <v>59676.36</v>
          </cell>
        </row>
        <row r="42">
          <cell r="B42">
            <v>63667.8</v>
          </cell>
          <cell r="C42">
            <v>73440.149999999994</v>
          </cell>
          <cell r="D42">
            <v>129260.13</v>
          </cell>
        </row>
        <row r="43">
          <cell r="B43">
            <v>204825.08</v>
          </cell>
          <cell r="C43">
            <v>487286.32</v>
          </cell>
          <cell r="D43">
            <v>392115.46</v>
          </cell>
        </row>
        <row r="44">
          <cell r="B44">
            <v>61857.19</v>
          </cell>
          <cell r="C44">
            <v>147160.47</v>
          </cell>
          <cell r="D44">
            <v>118418.86</v>
          </cell>
        </row>
      </sheetData>
      <sheetData sheetId="1" refreshError="1">
        <row r="21">
          <cell r="B21">
            <v>19405.330000000002</v>
          </cell>
        </row>
        <row r="29">
          <cell r="B29">
            <v>1854108.54</v>
          </cell>
          <cell r="G29">
            <v>1846980.81</v>
          </cell>
          <cell r="L29">
            <v>1913143.76</v>
          </cell>
        </row>
        <row r="39">
          <cell r="B39">
            <v>512469.38</v>
          </cell>
          <cell r="C39">
            <v>512469.38</v>
          </cell>
          <cell r="D39">
            <v>845550.86</v>
          </cell>
        </row>
        <row r="40">
          <cell r="B40">
            <v>276168.32000000001</v>
          </cell>
          <cell r="C40">
            <v>276168.32000000001</v>
          </cell>
          <cell r="D40">
            <v>442161.98</v>
          </cell>
        </row>
        <row r="41">
          <cell r="B41">
            <v>82055.67</v>
          </cell>
          <cell r="C41">
            <v>115491.5</v>
          </cell>
          <cell r="D41">
            <v>224913.55</v>
          </cell>
        </row>
        <row r="42">
          <cell r="B42">
            <v>41809.56</v>
          </cell>
          <cell r="C42">
            <v>41156.18</v>
          </cell>
          <cell r="D42">
            <v>68024.399999999994</v>
          </cell>
        </row>
        <row r="43">
          <cell r="B43">
            <v>48114.37</v>
          </cell>
          <cell r="C43">
            <v>10888.96</v>
          </cell>
          <cell r="D43">
            <v>70552.92</v>
          </cell>
        </row>
        <row r="44">
          <cell r="B44">
            <v>72357.89</v>
          </cell>
          <cell r="C44">
            <v>71112.53</v>
          </cell>
          <cell r="D44">
            <v>121210.85</v>
          </cell>
        </row>
        <row r="45">
          <cell r="B45">
            <v>405904.42</v>
          </cell>
          <cell r="C45">
            <v>409582.74</v>
          </cell>
          <cell r="D45">
            <v>408025.47</v>
          </cell>
        </row>
        <row r="46">
          <cell r="B46">
            <v>122570.53</v>
          </cell>
          <cell r="C46">
            <v>118634.09</v>
          </cell>
          <cell r="D46">
            <v>85017.51</v>
          </cell>
        </row>
      </sheetData>
      <sheetData sheetId="2" refreshError="1">
        <row r="7">
          <cell r="L7">
            <v>16820.55</v>
          </cell>
        </row>
        <row r="29">
          <cell r="B29">
            <v>1800826.96</v>
          </cell>
          <cell r="G29">
            <v>1832437.47</v>
          </cell>
          <cell r="L29">
            <v>1805620.84</v>
          </cell>
        </row>
        <row r="35">
          <cell r="F35">
            <v>1731825.99</v>
          </cell>
          <cell r="G35">
            <v>1760656.13</v>
          </cell>
          <cell r="H35">
            <v>2382989.65</v>
          </cell>
        </row>
        <row r="39">
          <cell r="B39">
            <v>642126.17000000004</v>
          </cell>
          <cell r="C39">
            <v>608616.67000000004</v>
          </cell>
          <cell r="D39">
            <v>941061.33</v>
          </cell>
        </row>
        <row r="40">
          <cell r="B40">
            <v>317152.95</v>
          </cell>
          <cell r="C40">
            <v>317152.95</v>
          </cell>
          <cell r="D40">
            <v>484022.43</v>
          </cell>
        </row>
        <row r="41">
          <cell r="B41">
            <v>75864.91</v>
          </cell>
          <cell r="C41">
            <v>140091.38</v>
          </cell>
          <cell r="D41">
            <v>168702.39</v>
          </cell>
        </row>
        <row r="42">
          <cell r="B42">
            <v>59619.9</v>
          </cell>
          <cell r="C42">
            <v>60444.37</v>
          </cell>
          <cell r="D42">
            <v>74437.070000000007</v>
          </cell>
        </row>
        <row r="43">
          <cell r="B43">
            <v>9398.64</v>
          </cell>
          <cell r="C43">
            <v>8415.14</v>
          </cell>
          <cell r="D43">
            <v>51842.32</v>
          </cell>
        </row>
        <row r="44">
          <cell r="B44">
            <v>88000.38</v>
          </cell>
          <cell r="C44">
            <v>91178.76</v>
          </cell>
          <cell r="D44">
            <v>125667.03</v>
          </cell>
        </row>
        <row r="45">
          <cell r="B45">
            <v>467729.95</v>
          </cell>
          <cell r="C45">
            <v>472689.19</v>
          </cell>
          <cell r="D45">
            <v>474492.58</v>
          </cell>
        </row>
        <row r="46">
          <cell r="B46">
            <v>71933.09</v>
          </cell>
          <cell r="C46">
            <v>62067.67</v>
          </cell>
          <cell r="D46">
            <v>62764.5</v>
          </cell>
        </row>
      </sheetData>
      <sheetData sheetId="3" refreshError="1"/>
      <sheetData sheetId="4" refreshError="1"/>
      <sheetData sheetId="5" refreshError="1"/>
      <sheetData sheetId="6" refreshError="1">
        <row r="71">
          <cell r="D71">
            <v>241063.99</v>
          </cell>
        </row>
        <row r="72">
          <cell r="D72">
            <v>1039278.51</v>
          </cell>
          <cell r="H72">
            <v>1399033.56</v>
          </cell>
          <cell r="L72">
            <v>1432823.33</v>
          </cell>
          <cell r="P72">
            <v>1466563.59</v>
          </cell>
          <cell r="T72">
            <v>1462977.29</v>
          </cell>
          <cell r="X72">
            <v>1552475.12</v>
          </cell>
          <cell r="AB72">
            <v>1532911.73</v>
          </cell>
          <cell r="AF72">
            <v>1591742.94</v>
          </cell>
          <cell r="AJ72">
            <v>1865482.41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2"/>
      <sheetName val="4 кв Ожид. 2012"/>
      <sheetName val="Ожидаемые год новый"/>
      <sheetName val="Лист3"/>
    </sheetNames>
    <sheetDataSet>
      <sheetData sheetId="0" refreshError="1"/>
      <sheetData sheetId="1">
        <row r="34">
          <cell r="F34">
            <v>1941924.27</v>
          </cell>
          <cell r="G34">
            <v>1903987.87</v>
          </cell>
          <cell r="H34">
            <v>3355238.91</v>
          </cell>
        </row>
        <row r="35">
          <cell r="F35">
            <v>1823387.46</v>
          </cell>
          <cell r="G35">
            <v>2475940.59</v>
          </cell>
          <cell r="H35">
            <v>3043820.7</v>
          </cell>
        </row>
        <row r="40">
          <cell r="B40">
            <v>593854.62</v>
          </cell>
          <cell r="C40">
            <v>593854.62</v>
          </cell>
          <cell r="D40">
            <v>914193.6</v>
          </cell>
        </row>
        <row r="41">
          <cell r="B41">
            <v>320703.98</v>
          </cell>
          <cell r="C41">
            <v>320703.98</v>
          </cell>
          <cell r="D41">
            <v>549119.39</v>
          </cell>
        </row>
        <row r="42">
          <cell r="B42">
            <v>104948.8</v>
          </cell>
          <cell r="C42">
            <v>104948.8</v>
          </cell>
          <cell r="D42">
            <v>163484.53</v>
          </cell>
        </row>
        <row r="43">
          <cell r="B43">
            <v>49287.69</v>
          </cell>
          <cell r="C43">
            <v>339737.79</v>
          </cell>
          <cell r="D43">
            <v>118089.15</v>
          </cell>
        </row>
        <row r="44">
          <cell r="B44">
            <v>21499.52</v>
          </cell>
          <cell r="C44">
            <v>363493.57</v>
          </cell>
          <cell r="D44">
            <v>121776.9</v>
          </cell>
        </row>
        <row r="45">
          <cell r="B45">
            <v>87789.15</v>
          </cell>
          <cell r="C45">
            <v>87789.15</v>
          </cell>
          <cell r="D45">
            <v>130084.98</v>
          </cell>
        </row>
        <row r="46">
          <cell r="B46">
            <v>521938.81</v>
          </cell>
          <cell r="C46">
            <v>521429.01</v>
          </cell>
          <cell r="D46">
            <v>1510340.52</v>
          </cell>
        </row>
        <row r="47">
          <cell r="B47">
            <v>68554.149999999994</v>
          </cell>
          <cell r="C47">
            <v>68400.2</v>
          </cell>
          <cell r="D47">
            <v>168747.04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40"/>
  <sheetViews>
    <sheetView tabSelected="1" zoomScaleNormal="100" workbookViewId="0">
      <selection activeCell="G23" sqref="G23"/>
    </sheetView>
  </sheetViews>
  <sheetFormatPr defaultRowHeight="12.75" x14ac:dyDescent="0.2"/>
  <cols>
    <col min="1" max="1" width="15.5703125" style="515" customWidth="1"/>
    <col min="2" max="2" width="12.42578125" style="515" customWidth="1"/>
    <col min="3" max="3" width="7.28515625" style="515" customWidth="1"/>
    <col min="4" max="4" width="12.28515625" style="515" customWidth="1"/>
    <col min="5" max="5" width="9.42578125" style="515" customWidth="1"/>
    <col min="6" max="6" width="11.7109375" style="515" customWidth="1"/>
    <col min="7" max="8" width="9.140625" style="515"/>
    <col min="9" max="9" width="7.7109375" style="515" hidden="1" customWidth="1"/>
    <col min="10" max="10" width="14.7109375" style="515" customWidth="1"/>
    <col min="11" max="11" width="7.5703125" style="515" customWidth="1"/>
    <col min="12" max="12" width="12.42578125" style="515" customWidth="1"/>
    <col min="13" max="13" width="15.140625" style="515" customWidth="1"/>
    <col min="14" max="14" width="9.85546875" style="515" bestFit="1" customWidth="1"/>
    <col min="15" max="18" width="9.140625" style="515"/>
    <col min="19" max="19" width="10.85546875" style="515" bestFit="1" customWidth="1"/>
    <col min="20" max="16384" width="9.140625" style="515"/>
  </cols>
  <sheetData>
    <row r="1" spans="1:15" x14ac:dyDescent="0.2">
      <c r="N1" s="1076" t="s">
        <v>441</v>
      </c>
      <c r="O1" s="1076"/>
    </row>
    <row r="2" spans="1:15" x14ac:dyDescent="0.2">
      <c r="A2" s="516"/>
      <c r="B2" s="517"/>
      <c r="C2" s="517"/>
      <c r="D2" s="517"/>
      <c r="E2" s="517"/>
      <c r="F2" s="517"/>
      <c r="G2" s="518" t="s">
        <v>218</v>
      </c>
      <c r="H2" s="517"/>
      <c r="I2" s="517"/>
      <c r="J2" s="517"/>
      <c r="K2" s="517"/>
      <c r="L2" s="517"/>
      <c r="M2" s="517"/>
      <c r="N2" s="517"/>
      <c r="O2" s="517"/>
    </row>
    <row r="3" spans="1:15" x14ac:dyDescent="0.2">
      <c r="A3" s="517"/>
      <c r="B3" s="517"/>
      <c r="C3" s="517"/>
      <c r="D3" s="517"/>
      <c r="E3" s="517"/>
      <c r="F3" s="517"/>
      <c r="G3" s="517"/>
      <c r="H3" s="517"/>
      <c r="I3" s="517"/>
      <c r="J3" s="517"/>
      <c r="K3" s="517"/>
      <c r="L3" s="517"/>
      <c r="M3" s="517"/>
      <c r="N3" s="517"/>
      <c r="O3" s="517"/>
    </row>
    <row r="4" spans="1:15" x14ac:dyDescent="0.2">
      <c r="A4" s="517" t="s">
        <v>219</v>
      </c>
      <c r="B4" s="517"/>
      <c r="C4" s="517" t="s">
        <v>220</v>
      </c>
      <c r="D4" s="519"/>
      <c r="E4" s="517"/>
      <c r="F4" s="517"/>
      <c r="G4" s="517"/>
      <c r="H4" s="517" t="s">
        <v>442</v>
      </c>
      <c r="I4" s="517"/>
      <c r="K4" s="517"/>
      <c r="L4" s="519"/>
      <c r="M4" s="519"/>
      <c r="N4" s="517"/>
      <c r="O4" s="517"/>
    </row>
    <row r="5" spans="1:15" x14ac:dyDescent="0.2">
      <c r="A5" s="517" t="s">
        <v>221</v>
      </c>
      <c r="B5" s="517"/>
      <c r="C5" s="520" t="s">
        <v>405</v>
      </c>
      <c r="D5" s="519"/>
      <c r="E5" s="520"/>
      <c r="F5" s="517"/>
      <c r="G5" s="517"/>
      <c r="H5" s="517" t="s">
        <v>222</v>
      </c>
      <c r="I5" s="517"/>
      <c r="K5" s="517"/>
      <c r="L5" s="888" t="s">
        <v>521</v>
      </c>
      <c r="M5" s="520"/>
      <c r="N5" s="520"/>
      <c r="O5" s="517"/>
    </row>
    <row r="6" spans="1:15" x14ac:dyDescent="0.2">
      <c r="A6" s="517" t="s">
        <v>223</v>
      </c>
      <c r="B6" s="517"/>
      <c r="C6" s="520" t="s">
        <v>398</v>
      </c>
      <c r="D6" s="520"/>
      <c r="E6" s="520"/>
      <c r="F6" s="517"/>
      <c r="G6" s="517"/>
      <c r="H6" s="517" t="s">
        <v>522</v>
      </c>
      <c r="I6" s="517"/>
      <c r="K6" s="517"/>
      <c r="L6" s="521">
        <v>3000000</v>
      </c>
      <c r="M6" s="520" t="s">
        <v>225</v>
      </c>
      <c r="N6" s="517"/>
      <c r="O6" s="517"/>
    </row>
    <row r="7" spans="1:15" x14ac:dyDescent="0.2">
      <c r="A7" s="517" t="s">
        <v>226</v>
      </c>
      <c r="B7" s="517"/>
      <c r="C7" s="522" t="s">
        <v>443</v>
      </c>
      <c r="D7" s="520"/>
      <c r="E7" s="520"/>
      <c r="F7" s="517"/>
      <c r="G7" s="517"/>
      <c r="H7" s="517" t="s">
        <v>227</v>
      </c>
      <c r="I7" s="517"/>
      <c r="K7" s="517"/>
      <c r="L7" s="520">
        <v>1</v>
      </c>
      <c r="M7" s="520"/>
      <c r="N7" s="520"/>
      <c r="O7" s="517"/>
    </row>
    <row r="8" spans="1:15" x14ac:dyDescent="0.2">
      <c r="A8" s="517" t="s">
        <v>228</v>
      </c>
      <c r="B8" s="517"/>
      <c r="C8" s="519" t="s">
        <v>444</v>
      </c>
      <c r="D8" s="517"/>
      <c r="E8" s="517"/>
      <c r="F8" s="517"/>
      <c r="G8" s="517"/>
      <c r="H8" s="517"/>
      <c r="I8" s="517"/>
      <c r="J8" s="517"/>
      <c r="K8" s="517"/>
      <c r="L8" s="517"/>
      <c r="M8" s="517"/>
      <c r="N8" s="517"/>
    </row>
    <row r="9" spans="1:15" ht="13.5" thickBot="1" x14ac:dyDescent="0.25">
      <c r="A9" s="517"/>
      <c r="B9" s="517"/>
      <c r="C9" s="517"/>
      <c r="D9" s="523"/>
      <c r="E9" s="523"/>
      <c r="F9" s="517"/>
      <c r="G9" s="517"/>
      <c r="H9" s="517"/>
      <c r="I9" s="517"/>
      <c r="J9" s="517"/>
      <c r="K9" s="517"/>
      <c r="L9" s="517"/>
      <c r="M9" s="517"/>
      <c r="N9" s="517"/>
      <c r="O9" s="517" t="s">
        <v>445</v>
      </c>
    </row>
    <row r="10" spans="1:15" x14ac:dyDescent="0.2">
      <c r="A10" s="1077" t="s">
        <v>229</v>
      </c>
      <c r="B10" s="1079" t="s">
        <v>230</v>
      </c>
      <c r="C10" s="1079" t="s">
        <v>231</v>
      </c>
      <c r="D10" s="1079" t="s">
        <v>232</v>
      </c>
      <c r="E10" s="1079" t="s">
        <v>233</v>
      </c>
      <c r="F10" s="1079" t="s">
        <v>446</v>
      </c>
      <c r="G10" s="1079" t="s">
        <v>235</v>
      </c>
      <c r="H10" s="1079" t="s">
        <v>236</v>
      </c>
      <c r="I10" s="680"/>
      <c r="J10" s="1079" t="s">
        <v>237</v>
      </c>
      <c r="K10" s="1079" t="s">
        <v>447</v>
      </c>
      <c r="L10" s="1079" t="s">
        <v>238</v>
      </c>
      <c r="M10" s="1079"/>
      <c r="N10" s="1079" t="s">
        <v>448</v>
      </c>
      <c r="O10" s="1085"/>
    </row>
    <row r="11" spans="1:15" ht="25.5" x14ac:dyDescent="0.2">
      <c r="A11" s="1078"/>
      <c r="B11" s="1080"/>
      <c r="C11" s="1080"/>
      <c r="D11" s="1080"/>
      <c r="E11" s="1080"/>
      <c r="F11" s="1080"/>
      <c r="G11" s="1080"/>
      <c r="H11" s="1080"/>
      <c r="I11" s="681"/>
      <c r="J11" s="1080"/>
      <c r="K11" s="1080"/>
      <c r="L11" s="681" t="s">
        <v>239</v>
      </c>
      <c r="M11" s="681" t="s">
        <v>240</v>
      </c>
      <c r="N11" s="1080" t="s">
        <v>449</v>
      </c>
      <c r="O11" s="1086"/>
    </row>
    <row r="12" spans="1:15" x14ac:dyDescent="0.2">
      <c r="A12" s="1078"/>
      <c r="B12" s="1080"/>
      <c r="C12" s="1080"/>
      <c r="D12" s="1080"/>
      <c r="E12" s="1080"/>
      <c r="F12" s="1080"/>
      <c r="G12" s="1080"/>
      <c r="H12" s="1080"/>
      <c r="I12" s="681"/>
      <c r="J12" s="1080"/>
      <c r="K12" s="1080"/>
      <c r="L12" s="681"/>
      <c r="M12" s="681"/>
      <c r="N12" s="1080" t="s">
        <v>450</v>
      </c>
      <c r="O12" s="1087" t="s">
        <v>451</v>
      </c>
    </row>
    <row r="13" spans="1:15" x14ac:dyDescent="0.2">
      <c r="A13" s="1078"/>
      <c r="B13" s="1080"/>
      <c r="C13" s="1080"/>
      <c r="D13" s="1080"/>
      <c r="E13" s="1080"/>
      <c r="F13" s="1080"/>
      <c r="G13" s="1080"/>
      <c r="H13" s="1080"/>
      <c r="I13" s="681"/>
      <c r="J13" s="1080"/>
      <c r="K13" s="1080"/>
      <c r="L13" s="524"/>
      <c r="M13" s="524"/>
      <c r="N13" s="1080"/>
      <c r="O13" s="1088"/>
    </row>
    <row r="14" spans="1:15" x14ac:dyDescent="0.2">
      <c r="A14" s="679">
        <v>1</v>
      </c>
      <c r="B14" s="681">
        <v>2</v>
      </c>
      <c r="C14" s="681">
        <v>3</v>
      </c>
      <c r="D14" s="681">
        <v>4</v>
      </c>
      <c r="E14" s="681">
        <v>5</v>
      </c>
      <c r="F14" s="681">
        <v>6</v>
      </c>
      <c r="G14" s="681">
        <v>7</v>
      </c>
      <c r="H14" s="681">
        <v>8</v>
      </c>
      <c r="I14" s="681"/>
      <c r="J14" s="681">
        <v>9</v>
      </c>
      <c r="K14" s="681">
        <v>10</v>
      </c>
      <c r="L14" s="681">
        <v>11</v>
      </c>
      <c r="M14" s="681">
        <v>12</v>
      </c>
      <c r="N14" s="681">
        <v>13</v>
      </c>
      <c r="O14" s="676">
        <v>14</v>
      </c>
    </row>
    <row r="15" spans="1:15" x14ac:dyDescent="0.2">
      <c r="A15" s="1081" t="s">
        <v>241</v>
      </c>
      <c r="B15" s="1082"/>
      <c r="C15" s="1082"/>
      <c r="D15" s="1082"/>
      <c r="E15" s="1082"/>
      <c r="F15" s="1082"/>
      <c r="G15" s="1082"/>
      <c r="H15" s="1082"/>
      <c r="I15" s="1082"/>
      <c r="J15" s="1082"/>
      <c r="K15" s="1082"/>
      <c r="L15" s="1082"/>
      <c r="M15" s="1082"/>
      <c r="N15" s="1082"/>
      <c r="O15" s="1083"/>
    </row>
    <row r="16" spans="1:15" x14ac:dyDescent="0.2">
      <c r="A16" s="889" t="s">
        <v>242</v>
      </c>
      <c r="B16" s="526">
        <v>0</v>
      </c>
      <c r="C16" s="526">
        <v>0</v>
      </c>
      <c r="D16" s="526">
        <f>КЗ!D16</f>
        <v>45888.69</v>
      </c>
      <c r="E16" s="526">
        <v>0</v>
      </c>
      <c r="F16" s="526">
        <f>КЗ!F16</f>
        <v>13858.38</v>
      </c>
      <c r="G16" s="526">
        <v>0</v>
      </c>
      <c r="H16" s="526">
        <v>0</v>
      </c>
      <c r="I16" s="528">
        <v>1.1016999999999999</v>
      </c>
      <c r="J16" s="526">
        <f>КЗ!J16</f>
        <v>71164.179999999993</v>
      </c>
      <c r="K16" s="526">
        <v>0</v>
      </c>
      <c r="L16" s="526">
        <f>SUM(B16:H16)+J16+K16</f>
        <v>130911.25</v>
      </c>
      <c r="M16" s="890"/>
      <c r="N16" s="891"/>
      <c r="O16" s="892"/>
    </row>
    <row r="17" spans="1:19" x14ac:dyDescent="0.2">
      <c r="A17" s="889" t="s">
        <v>250</v>
      </c>
      <c r="B17" s="526">
        <v>0</v>
      </c>
      <c r="C17" s="526">
        <v>0</v>
      </c>
      <c r="D17" s="526">
        <f>КЗ!D17</f>
        <v>91121.62</v>
      </c>
      <c r="E17" s="526">
        <v>0</v>
      </c>
      <c r="F17" s="526">
        <f>КЗ!F17</f>
        <v>27518.73</v>
      </c>
      <c r="G17" s="526">
        <v>0</v>
      </c>
      <c r="H17" s="526">
        <v>0</v>
      </c>
      <c r="I17" s="528">
        <v>1.1691</v>
      </c>
      <c r="J17" s="526">
        <f>КЗ!J17</f>
        <v>96625.37</v>
      </c>
      <c r="K17" s="526">
        <v>0</v>
      </c>
      <c r="L17" s="526">
        <f t="shared" ref="L17:L25" si="0">SUM(B17:H17)+J17+K17</f>
        <v>215265.72</v>
      </c>
      <c r="M17" s="890"/>
      <c r="N17" s="891"/>
      <c r="O17" s="892"/>
    </row>
    <row r="18" spans="1:19" x14ac:dyDescent="0.2">
      <c r="A18" s="889" t="s">
        <v>452</v>
      </c>
      <c r="B18" s="526">
        <v>0</v>
      </c>
      <c r="C18" s="526">
        <v>0</v>
      </c>
      <c r="D18" s="526">
        <f>КЗ!D18</f>
        <v>114862.49</v>
      </c>
      <c r="E18" s="526">
        <v>0</v>
      </c>
      <c r="F18" s="526">
        <f>КЗ!F18</f>
        <v>34688.480000000003</v>
      </c>
      <c r="G18" s="526">
        <v>0</v>
      </c>
      <c r="H18" s="526">
        <v>0</v>
      </c>
      <c r="I18" s="528">
        <v>1.5508</v>
      </c>
      <c r="J18" s="526">
        <f>КЗ!J18</f>
        <v>121639.38</v>
      </c>
      <c r="K18" s="526">
        <v>0</v>
      </c>
      <c r="L18" s="526">
        <f t="shared" si="0"/>
        <v>271190.34999999998</v>
      </c>
      <c r="M18" s="890"/>
      <c r="N18" s="891"/>
      <c r="O18" s="892"/>
    </row>
    <row r="19" spans="1:19" x14ac:dyDescent="0.2">
      <c r="A19" s="889" t="s">
        <v>453</v>
      </c>
      <c r="B19" s="526">
        <v>0</v>
      </c>
      <c r="C19" s="526">
        <v>0</v>
      </c>
      <c r="D19" s="526">
        <f>КЗ!D19</f>
        <v>136295.35</v>
      </c>
      <c r="E19" s="526">
        <v>0</v>
      </c>
      <c r="F19" s="526">
        <f>КЗ!F19</f>
        <v>41161.199999999997</v>
      </c>
      <c r="G19" s="526">
        <v>0</v>
      </c>
      <c r="H19" s="526">
        <v>0</v>
      </c>
      <c r="I19" s="528">
        <v>1.0604</v>
      </c>
      <c r="J19" s="526">
        <f>КЗ!J19</f>
        <v>198323.36</v>
      </c>
      <c r="K19" s="526">
        <v>0</v>
      </c>
      <c r="L19" s="526">
        <f t="shared" si="0"/>
        <v>375779.91</v>
      </c>
      <c r="M19" s="890"/>
      <c r="N19" s="891"/>
      <c r="O19" s="892"/>
    </row>
    <row r="20" spans="1:19" x14ac:dyDescent="0.2">
      <c r="A20" s="889" t="s">
        <v>257</v>
      </c>
      <c r="B20" s="526">
        <v>0</v>
      </c>
      <c r="C20" s="526">
        <v>0</v>
      </c>
      <c r="D20" s="526">
        <f>КЗ!D20</f>
        <v>112218.25</v>
      </c>
      <c r="E20" s="526">
        <v>0</v>
      </c>
      <c r="F20" s="526">
        <f>КЗ!F20</f>
        <v>32899.919999999998</v>
      </c>
      <c r="G20" s="526">
        <v>0</v>
      </c>
      <c r="H20" s="526">
        <v>0</v>
      </c>
      <c r="I20" s="528">
        <v>1.0589999999999999</v>
      </c>
      <c r="J20" s="526">
        <f>КЗ!J20</f>
        <v>126784.18</v>
      </c>
      <c r="K20" s="526">
        <v>0</v>
      </c>
      <c r="L20" s="526">
        <f t="shared" si="0"/>
        <v>271902.34999999998</v>
      </c>
      <c r="M20" s="890"/>
      <c r="N20" s="891"/>
      <c r="O20" s="892"/>
    </row>
    <row r="21" spans="1:19" x14ac:dyDescent="0.2">
      <c r="A21" s="889" t="s">
        <v>258</v>
      </c>
      <c r="B21" s="526">
        <v>0</v>
      </c>
      <c r="C21" s="526">
        <v>0</v>
      </c>
      <c r="D21" s="526">
        <f>КЗ!D21</f>
        <v>114498.95</v>
      </c>
      <c r="E21" s="526">
        <v>0</v>
      </c>
      <c r="F21" s="526">
        <f>КЗ!F21</f>
        <v>34578.68</v>
      </c>
      <c r="G21" s="526">
        <v>0</v>
      </c>
      <c r="H21" s="526">
        <v>0</v>
      </c>
      <c r="I21" s="528">
        <v>1.4551000000000001</v>
      </c>
      <c r="J21" s="526">
        <f>КЗ!J21</f>
        <v>126647.29</v>
      </c>
      <c r="K21" s="526">
        <v>0</v>
      </c>
      <c r="L21" s="526">
        <f t="shared" si="0"/>
        <v>275724.92</v>
      </c>
      <c r="M21" s="890"/>
      <c r="N21" s="891"/>
      <c r="O21" s="892"/>
    </row>
    <row r="22" spans="1:19" x14ac:dyDescent="0.2">
      <c r="A22" s="889" t="s">
        <v>297</v>
      </c>
      <c r="B22" s="526">
        <v>0</v>
      </c>
      <c r="C22" s="526">
        <v>0</v>
      </c>
      <c r="D22" s="526">
        <f>КЗ!D22</f>
        <v>94106.38</v>
      </c>
      <c r="E22" s="526">
        <v>0</v>
      </c>
      <c r="F22" s="526">
        <f>КЗ!F22</f>
        <v>25274</v>
      </c>
      <c r="G22" s="526">
        <v>0</v>
      </c>
      <c r="H22" s="526">
        <v>0</v>
      </c>
      <c r="I22" s="528"/>
      <c r="J22" s="526">
        <f>КЗ!J22</f>
        <v>120211.49</v>
      </c>
      <c r="K22" s="526">
        <v>0</v>
      </c>
      <c r="L22" s="526">
        <f t="shared" si="0"/>
        <v>239591.87</v>
      </c>
      <c r="M22" s="890"/>
      <c r="N22" s="891"/>
      <c r="O22" s="892"/>
    </row>
    <row r="23" spans="1:19" x14ac:dyDescent="0.2">
      <c r="A23" s="889" t="s">
        <v>300</v>
      </c>
      <c r="B23" s="526">
        <v>0</v>
      </c>
      <c r="C23" s="526">
        <v>0</v>
      </c>
      <c r="D23" s="526">
        <f>КЗ!D23</f>
        <v>103500</v>
      </c>
      <c r="E23" s="526">
        <v>0</v>
      </c>
      <c r="F23" s="526">
        <f>КЗ!F23</f>
        <v>23557</v>
      </c>
      <c r="G23" s="526">
        <v>0</v>
      </c>
      <c r="H23" s="526">
        <v>0</v>
      </c>
      <c r="I23" s="528"/>
      <c r="J23" s="526">
        <f>КЗ!J23</f>
        <v>85905</v>
      </c>
      <c r="K23" s="526">
        <v>0</v>
      </c>
      <c r="L23" s="526">
        <f t="shared" si="0"/>
        <v>212962</v>
      </c>
      <c r="M23" s="890"/>
      <c r="N23" s="891"/>
      <c r="O23" s="892"/>
    </row>
    <row r="24" spans="1:19" x14ac:dyDescent="0.2">
      <c r="A24" s="889" t="s">
        <v>512</v>
      </c>
      <c r="B24" s="526">
        <v>0</v>
      </c>
      <c r="C24" s="526">
        <v>0</v>
      </c>
      <c r="D24" s="526">
        <f>КЗ!D24</f>
        <v>102692.4</v>
      </c>
      <c r="E24" s="526">
        <v>0</v>
      </c>
      <c r="F24" s="526">
        <f>КЗ!F24</f>
        <v>23313.1</v>
      </c>
      <c r="G24" s="526">
        <v>0</v>
      </c>
      <c r="H24" s="526">
        <v>0</v>
      </c>
      <c r="I24" s="528"/>
      <c r="J24" s="526">
        <f>КЗ!J24</f>
        <v>85234.69</v>
      </c>
      <c r="K24" s="526">
        <v>0</v>
      </c>
      <c r="L24" s="526">
        <f t="shared" si="0"/>
        <v>211240.19</v>
      </c>
      <c r="M24" s="890"/>
      <c r="N24" s="891"/>
      <c r="O24" s="892"/>
    </row>
    <row r="25" spans="1:19" ht="13.5" thickBot="1" x14ac:dyDescent="0.25">
      <c r="A25" s="1061" t="s">
        <v>523</v>
      </c>
      <c r="B25" s="1062">
        <v>0</v>
      </c>
      <c r="C25" s="1062">
        <v>0</v>
      </c>
      <c r="D25" s="1062">
        <f>КЗ!D25</f>
        <v>99565.87</v>
      </c>
      <c r="E25" s="1062">
        <v>0</v>
      </c>
      <c r="F25" s="1062">
        <f>КЗ!F25</f>
        <v>23313.5</v>
      </c>
      <c r="G25" s="1062">
        <v>0</v>
      </c>
      <c r="H25" s="1062">
        <v>0</v>
      </c>
      <c r="I25" s="1063"/>
      <c r="J25" s="526">
        <f>КЗ!J25</f>
        <v>93590.06</v>
      </c>
      <c r="K25" s="526">
        <v>0</v>
      </c>
      <c r="L25" s="526">
        <f t="shared" si="0"/>
        <v>216469.43</v>
      </c>
      <c r="M25" s="1064"/>
      <c r="N25" s="1065"/>
      <c r="O25" s="1066"/>
    </row>
    <row r="26" spans="1:19" ht="13.5" thickBot="1" x14ac:dyDescent="0.25">
      <c r="A26" s="1067" t="s">
        <v>524</v>
      </c>
      <c r="B26" s="1068">
        <f>SUM(B16:B21)</f>
        <v>0</v>
      </c>
      <c r="C26" s="1068">
        <f t="shared" ref="C26:K26" si="1">SUM(C16:C21)</f>
        <v>0</v>
      </c>
      <c r="D26" s="1068">
        <f>SUM(D16:D25)</f>
        <v>1014750</v>
      </c>
      <c r="E26" s="1068">
        <f t="shared" si="1"/>
        <v>0</v>
      </c>
      <c r="F26" s="1068">
        <f>SUM(F16:F25)</f>
        <v>280162.99</v>
      </c>
      <c r="G26" s="1068">
        <f t="shared" si="1"/>
        <v>0</v>
      </c>
      <c r="H26" s="1068">
        <f t="shared" si="1"/>
        <v>0</v>
      </c>
      <c r="I26" s="1068"/>
      <c r="J26" s="1068">
        <f>SUM(J16:J25)</f>
        <v>1126125</v>
      </c>
      <c r="K26" s="1068">
        <f t="shared" si="1"/>
        <v>0</v>
      </c>
      <c r="L26" s="1068">
        <f>SUM(L16:L25)</f>
        <v>2421037.9900000002</v>
      </c>
      <c r="M26" s="1069"/>
      <c r="N26" s="1070"/>
      <c r="O26" s="1071"/>
    </row>
    <row r="27" spans="1:19" x14ac:dyDescent="0.2">
      <c r="A27" s="1089" t="s">
        <v>428</v>
      </c>
      <c r="B27" s="1090"/>
      <c r="C27" s="1090"/>
      <c r="D27" s="1090"/>
      <c r="E27" s="1090"/>
      <c r="F27" s="1090"/>
      <c r="G27" s="1090"/>
      <c r="H27" s="1090"/>
      <c r="I27" s="1090"/>
      <c r="J27" s="1090"/>
      <c r="K27" s="1090"/>
      <c r="L27" s="1090"/>
      <c r="M27" s="1090"/>
      <c r="N27" s="1090"/>
      <c r="O27" s="1091"/>
    </row>
    <row r="28" spans="1:19" ht="13.5" thickBot="1" x14ac:dyDescent="0.25">
      <c r="A28" s="1061" t="s">
        <v>429</v>
      </c>
      <c r="B28" s="1062">
        <v>0</v>
      </c>
      <c r="C28" s="1062">
        <v>0</v>
      </c>
      <c r="D28" s="1062">
        <f>КЗ!D28</f>
        <v>49500</v>
      </c>
      <c r="E28" s="1062">
        <v>0</v>
      </c>
      <c r="F28" s="1062">
        <f>КЗ!F28</f>
        <v>14949</v>
      </c>
      <c r="G28" s="1062">
        <v>0</v>
      </c>
      <c r="H28" s="1062">
        <v>0</v>
      </c>
      <c r="I28" s="1072">
        <v>0.70950000000000002</v>
      </c>
      <c r="J28" s="1062">
        <f>КЗ!J28</f>
        <v>44550</v>
      </c>
      <c r="K28" s="1062">
        <v>0</v>
      </c>
      <c r="L28" s="1062">
        <f>B28+D28+F28+J28</f>
        <v>108999</v>
      </c>
      <c r="M28" s="1064"/>
      <c r="N28" s="1065"/>
      <c r="O28" s="1066"/>
      <c r="R28" s="530"/>
      <c r="S28" s="531"/>
    </row>
    <row r="29" spans="1:19" ht="13.5" thickBot="1" x14ac:dyDescent="0.25">
      <c r="A29" s="1067" t="s">
        <v>243</v>
      </c>
      <c r="B29" s="1068">
        <f t="shared" ref="B29:H29" si="2">SUM(B26:B28)</f>
        <v>0</v>
      </c>
      <c r="C29" s="1068">
        <f t="shared" si="2"/>
        <v>0</v>
      </c>
      <c r="D29" s="1068">
        <f t="shared" si="2"/>
        <v>1064250</v>
      </c>
      <c r="E29" s="1068">
        <f t="shared" si="2"/>
        <v>0</v>
      </c>
      <c r="F29" s="1068">
        <f t="shared" si="2"/>
        <v>295111.99</v>
      </c>
      <c r="G29" s="1068">
        <f t="shared" si="2"/>
        <v>0</v>
      </c>
      <c r="H29" s="1068">
        <f t="shared" si="2"/>
        <v>0</v>
      </c>
      <c r="I29" s="1068"/>
      <c r="J29" s="1068">
        <f>SUM(J26:J28)</f>
        <v>1170675</v>
      </c>
      <c r="K29" s="1068">
        <f>SUM(K26:K28)</f>
        <v>0</v>
      </c>
      <c r="L29" s="1068">
        <f>SUM(L26:L28)</f>
        <v>2530036.9900000002</v>
      </c>
      <c r="M29" s="1073">
        <v>3000000</v>
      </c>
      <c r="N29" s="1070"/>
      <c r="O29" s="1071"/>
      <c r="Q29" s="530"/>
      <c r="S29" s="531"/>
    </row>
    <row r="30" spans="1:19" x14ac:dyDescent="0.2">
      <c r="A30" s="517"/>
      <c r="B30" s="517"/>
      <c r="C30" s="517"/>
      <c r="G30" s="517"/>
      <c r="H30" s="517"/>
      <c r="I30" s="517"/>
      <c r="K30" s="1084"/>
      <c r="L30" s="1084"/>
      <c r="M30" s="534"/>
      <c r="N30" s="893"/>
      <c r="O30" s="894"/>
    </row>
    <row r="31" spans="1:19" x14ac:dyDescent="0.2">
      <c r="A31" s="517" t="s">
        <v>454</v>
      </c>
      <c r="B31" s="517"/>
      <c r="C31" s="895"/>
      <c r="D31" s="896"/>
      <c r="E31" s="896"/>
      <c r="F31" s="896"/>
      <c r="G31" s="896"/>
      <c r="H31" s="896"/>
      <c r="I31" s="896"/>
      <c r="J31" s="896"/>
      <c r="K31" s="897"/>
      <c r="L31" s="897"/>
      <c r="M31" s="898"/>
      <c r="N31" s="894"/>
      <c r="O31" s="894"/>
    </row>
    <row r="32" spans="1:19" x14ac:dyDescent="0.2">
      <c r="A32" s="517" t="s">
        <v>518</v>
      </c>
      <c r="B32" s="517"/>
      <c r="C32" s="895"/>
      <c r="D32" s="896"/>
      <c r="E32" s="896"/>
      <c r="F32" s="896"/>
      <c r="G32" s="896"/>
      <c r="H32" s="896"/>
      <c r="I32" s="896"/>
      <c r="J32" s="896"/>
      <c r="K32" s="897"/>
      <c r="L32" s="897"/>
      <c r="M32" s="898"/>
      <c r="N32" s="894"/>
      <c r="O32" s="894"/>
    </row>
    <row r="33" spans="1:15" ht="14.25" x14ac:dyDescent="0.2">
      <c r="A33" s="517" t="s">
        <v>519</v>
      </c>
      <c r="B33" s="517"/>
      <c r="C33" s="517"/>
      <c r="D33" s="517"/>
      <c r="E33" s="517"/>
      <c r="F33" s="517"/>
      <c r="G33" s="517"/>
      <c r="H33" s="517"/>
      <c r="I33" s="517"/>
      <c r="J33" s="535"/>
      <c r="K33" s="536"/>
      <c r="L33" s="538"/>
      <c r="M33" s="899"/>
      <c r="N33" s="894"/>
      <c r="O33" s="894"/>
    </row>
    <row r="34" spans="1:15" ht="14.25" x14ac:dyDescent="0.2">
      <c r="A34" s="517" t="s">
        <v>520</v>
      </c>
      <c r="B34" s="517"/>
      <c r="C34" s="517"/>
      <c r="D34" s="517"/>
      <c r="E34" s="517"/>
      <c r="F34" s="517"/>
      <c r="G34" s="517"/>
      <c r="H34" s="517"/>
      <c r="I34" s="517"/>
      <c r="J34" s="535"/>
      <c r="K34" s="536"/>
      <c r="L34" s="538"/>
      <c r="M34" s="899"/>
      <c r="N34" s="894"/>
      <c r="O34" s="894"/>
    </row>
    <row r="35" spans="1:15" x14ac:dyDescent="0.2">
      <c r="A35" s="539"/>
      <c r="B35" s="517"/>
      <c r="C35" s="517"/>
      <c r="D35" s="517"/>
      <c r="E35" s="517"/>
      <c r="F35" s="517"/>
      <c r="G35" s="517"/>
      <c r="H35" s="517"/>
      <c r="I35" s="517"/>
      <c r="J35" s="517"/>
      <c r="K35" s="536"/>
      <c r="L35" s="538"/>
      <c r="M35" s="537"/>
      <c r="N35" s="894"/>
      <c r="O35" s="894"/>
    </row>
    <row r="36" spans="1:15" x14ac:dyDescent="0.2">
      <c r="A36" s="539"/>
      <c r="B36" s="517"/>
      <c r="C36" s="517"/>
      <c r="D36" s="517"/>
      <c r="E36" s="517"/>
      <c r="F36" s="517"/>
      <c r="G36" s="517"/>
      <c r="H36" s="517"/>
      <c r="I36" s="517"/>
      <c r="J36" s="517"/>
      <c r="K36" s="536"/>
      <c r="L36" s="538"/>
      <c r="M36" s="537"/>
      <c r="N36" s="894"/>
      <c r="O36" s="894"/>
    </row>
    <row r="37" spans="1:15" ht="27.75" customHeight="1" x14ac:dyDescent="0.2">
      <c r="A37" s="517" t="s">
        <v>245</v>
      </c>
      <c r="B37" s="517"/>
      <c r="C37" s="517"/>
      <c r="D37" s="517"/>
      <c r="E37" s="517"/>
      <c r="F37" s="517"/>
      <c r="G37" s="517"/>
      <c r="H37" s="517"/>
      <c r="I37" s="517"/>
      <c r="J37" s="517" t="s">
        <v>246</v>
      </c>
      <c r="K37" s="536"/>
      <c r="L37" s="536"/>
      <c r="M37" s="900"/>
      <c r="N37" s="901"/>
      <c r="O37" s="902"/>
    </row>
    <row r="38" spans="1:15" x14ac:dyDescent="0.2">
      <c r="A38" s="517"/>
      <c r="B38" s="517"/>
      <c r="C38" s="517"/>
      <c r="D38" s="517"/>
      <c r="E38" s="517"/>
      <c r="F38" s="517"/>
      <c r="G38" s="517"/>
      <c r="H38" s="517"/>
      <c r="I38" s="517"/>
      <c r="J38" s="517"/>
      <c r="K38" s="517"/>
      <c r="L38" s="517"/>
      <c r="M38" s="517"/>
      <c r="N38" s="517"/>
      <c r="O38" s="517"/>
    </row>
    <row r="39" spans="1:15" ht="39" customHeight="1" x14ac:dyDescent="0.2">
      <c r="A39" s="517" t="s">
        <v>247</v>
      </c>
      <c r="B39" s="517"/>
      <c r="C39" s="517"/>
      <c r="D39" s="517"/>
      <c r="E39" s="517"/>
      <c r="F39" s="517"/>
      <c r="G39" s="517"/>
      <c r="H39" s="517"/>
      <c r="I39" s="517"/>
      <c r="J39" s="517" t="s">
        <v>248</v>
      </c>
      <c r="K39" s="517"/>
      <c r="L39" s="517"/>
      <c r="M39" s="517"/>
      <c r="N39" s="517"/>
      <c r="O39" s="517"/>
    </row>
    <row r="40" spans="1:15" x14ac:dyDescent="0.2">
      <c r="K40" s="517"/>
      <c r="L40" s="540"/>
      <c r="M40" s="541"/>
      <c r="N40" s="517"/>
      <c r="O40" s="517"/>
    </row>
  </sheetData>
  <mergeCells count="19">
    <mergeCell ref="A15:O15"/>
    <mergeCell ref="K30:L30"/>
    <mergeCell ref="K10:K13"/>
    <mergeCell ref="L10:M10"/>
    <mergeCell ref="N10:O10"/>
    <mergeCell ref="N11:O11"/>
    <mergeCell ref="N12:N13"/>
    <mergeCell ref="O12:O13"/>
    <mergeCell ref="A27:O27"/>
    <mergeCell ref="N1:O1"/>
    <mergeCell ref="A10:A13"/>
    <mergeCell ref="B10:B13"/>
    <mergeCell ref="C10:C13"/>
    <mergeCell ref="D10:D13"/>
    <mergeCell ref="E10:E13"/>
    <mergeCell ref="F10:F13"/>
    <mergeCell ref="G10:G13"/>
    <mergeCell ref="H10:H13"/>
    <mergeCell ref="J10:J13"/>
  </mergeCells>
  <pageMargins left="0.49" right="0.19685039370078741" top="0.49" bottom="0.74803149606299213" header="0.31496062992125984" footer="0.31496062992125984"/>
  <pageSetup paperSize="9" scale="90" orientation="landscape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64"/>
  <sheetViews>
    <sheetView topLeftCell="A13" zoomScale="85" zoomScaleNormal="85" workbookViewId="0">
      <selection activeCell="N48" sqref="N48"/>
    </sheetView>
  </sheetViews>
  <sheetFormatPr defaultRowHeight="12.75" x14ac:dyDescent="0.2"/>
  <cols>
    <col min="1" max="1" width="11.5703125" bestFit="1" customWidth="1"/>
    <col min="2" max="2" width="17.5703125" bestFit="1" customWidth="1"/>
    <col min="3" max="4" width="15.28515625" bestFit="1" customWidth="1"/>
    <col min="5" max="5" width="11.85546875" bestFit="1" customWidth="1"/>
    <col min="6" max="6" width="15" bestFit="1" customWidth="1"/>
    <col min="7" max="7" width="20.140625" bestFit="1" customWidth="1"/>
    <col min="8" max="8" width="14.42578125" bestFit="1" customWidth="1"/>
    <col min="9" max="10" width="15" bestFit="1" customWidth="1"/>
    <col min="11" max="11" width="17.5703125" bestFit="1" customWidth="1"/>
    <col min="12" max="12" width="16.28515625" bestFit="1" customWidth="1"/>
    <col min="13" max="13" width="18.140625" bestFit="1" customWidth="1"/>
    <col min="14" max="14" width="20.7109375" bestFit="1" customWidth="1"/>
    <col min="15" max="17" width="9.85546875" bestFit="1" customWidth="1"/>
    <col min="18" max="18" width="7.28515625" bestFit="1" customWidth="1"/>
  </cols>
  <sheetData>
    <row r="2" spans="1:19" ht="16.5" thickBot="1" x14ac:dyDescent="0.3">
      <c r="A2" s="52"/>
      <c r="B2" s="54"/>
      <c r="C2" s="53"/>
      <c r="D2" s="53"/>
      <c r="E2" s="54"/>
      <c r="F2" s="54"/>
      <c r="G2" s="53"/>
      <c r="H2" s="54"/>
      <c r="I2" s="54"/>
      <c r="J2" s="54"/>
      <c r="K2" s="54"/>
      <c r="L2" s="54"/>
      <c r="M2" s="54"/>
      <c r="N2" s="54"/>
      <c r="O2" s="54"/>
      <c r="P2" s="54"/>
      <c r="Q2" s="54"/>
    </row>
    <row r="3" spans="1:19" s="108" customFormat="1" ht="15.75" x14ac:dyDescent="0.25">
      <c r="A3" s="90">
        <v>2011</v>
      </c>
      <c r="B3" s="100" t="s">
        <v>88</v>
      </c>
      <c r="C3" s="102" t="s">
        <v>96</v>
      </c>
      <c r="D3" s="101" t="s">
        <v>98</v>
      </c>
      <c r="E3" s="103"/>
      <c r="F3" s="103" t="s">
        <v>84</v>
      </c>
      <c r="G3" s="101" t="s">
        <v>83</v>
      </c>
      <c r="H3" s="104" t="s">
        <v>57</v>
      </c>
      <c r="I3" s="104" t="s">
        <v>58</v>
      </c>
      <c r="J3" s="105" t="s">
        <v>64</v>
      </c>
      <c r="K3" s="106" t="s">
        <v>71</v>
      </c>
      <c r="L3" s="103"/>
      <c r="M3" s="107" t="s">
        <v>89</v>
      </c>
      <c r="N3" s="101" t="s">
        <v>97</v>
      </c>
      <c r="O3" s="94"/>
      <c r="P3" s="50"/>
      <c r="Q3" s="51"/>
    </row>
    <row r="4" spans="1:19" ht="15.75" x14ac:dyDescent="0.25">
      <c r="A4" s="96" t="s">
        <v>1</v>
      </c>
      <c r="B4" s="92">
        <v>3</v>
      </c>
      <c r="C4" s="80">
        <v>2</v>
      </c>
      <c r="D4" s="1">
        <v>9</v>
      </c>
      <c r="E4" s="78"/>
      <c r="F4" s="78"/>
      <c r="G4" s="55"/>
      <c r="H4" s="1">
        <v>4</v>
      </c>
      <c r="I4" s="1">
        <v>2</v>
      </c>
      <c r="J4" s="80">
        <v>2.5</v>
      </c>
      <c r="K4" s="86"/>
      <c r="L4" s="78"/>
      <c r="M4" s="78"/>
      <c r="N4" s="1">
        <v>1.5</v>
      </c>
      <c r="O4" s="95">
        <f t="shared" ref="O4:O15" si="0">SUM(B4:N4)</f>
        <v>24</v>
      </c>
      <c r="P4" s="2">
        <v>24.47</v>
      </c>
      <c r="Q4" s="867">
        <f t="shared" ref="Q4:Q15" si="1">P4-O4</f>
        <v>0.47</v>
      </c>
      <c r="S4" s="3"/>
    </row>
    <row r="5" spans="1:19" ht="15.75" x14ac:dyDescent="0.25">
      <c r="A5" s="96" t="s">
        <v>2</v>
      </c>
      <c r="B5" s="92">
        <v>2.5</v>
      </c>
      <c r="C5" s="80">
        <v>1</v>
      </c>
      <c r="D5" s="1">
        <v>4</v>
      </c>
      <c r="E5" s="78"/>
      <c r="F5" s="78"/>
      <c r="G5" s="55"/>
      <c r="H5" s="1">
        <v>3</v>
      </c>
      <c r="I5" s="1">
        <v>2</v>
      </c>
      <c r="J5" s="80">
        <v>2.5</v>
      </c>
      <c r="K5" s="418">
        <v>8.5</v>
      </c>
      <c r="L5" s="78"/>
      <c r="M5" s="78"/>
      <c r="N5" s="1">
        <v>0.5</v>
      </c>
      <c r="O5" s="95">
        <f t="shared" si="0"/>
        <v>24</v>
      </c>
      <c r="P5" s="2">
        <v>24.14</v>
      </c>
      <c r="Q5" s="867">
        <f t="shared" si="1"/>
        <v>0.14000000000000001</v>
      </c>
      <c r="S5" s="3"/>
    </row>
    <row r="6" spans="1:19" ht="15.75" x14ac:dyDescent="0.25">
      <c r="A6" s="96" t="s">
        <v>3</v>
      </c>
      <c r="B6" s="92">
        <v>2</v>
      </c>
      <c r="C6" s="80">
        <v>1</v>
      </c>
      <c r="D6" s="55"/>
      <c r="E6" s="78"/>
      <c r="F6" s="78"/>
      <c r="G6" s="55"/>
      <c r="H6" s="1">
        <v>5</v>
      </c>
      <c r="I6" s="1">
        <v>2</v>
      </c>
      <c r="J6" s="80">
        <v>5</v>
      </c>
      <c r="K6" s="418">
        <v>8.6999999999999993</v>
      </c>
      <c r="L6" s="78"/>
      <c r="M6" s="78"/>
      <c r="N6" s="55"/>
      <c r="O6" s="95">
        <f t="shared" si="0"/>
        <v>23.7</v>
      </c>
      <c r="P6" s="2">
        <v>23.79</v>
      </c>
      <c r="Q6" s="867">
        <f t="shared" si="1"/>
        <v>0.09</v>
      </c>
    </row>
    <row r="7" spans="1:19" ht="15.75" x14ac:dyDescent="0.25">
      <c r="A7" s="96" t="s">
        <v>21</v>
      </c>
      <c r="B7" s="92">
        <v>2</v>
      </c>
      <c r="C7" s="83">
        <v>1.5</v>
      </c>
      <c r="D7" s="55"/>
      <c r="E7" s="78"/>
      <c r="F7" s="78"/>
      <c r="G7" s="55"/>
      <c r="H7" s="1">
        <v>5</v>
      </c>
      <c r="I7" s="1">
        <v>2</v>
      </c>
      <c r="J7" s="80">
        <v>5</v>
      </c>
      <c r="K7" s="418">
        <v>5.4</v>
      </c>
      <c r="L7" s="78"/>
      <c r="M7" s="84">
        <v>5.5</v>
      </c>
      <c r="N7" s="55"/>
      <c r="O7" s="95">
        <f t="shared" si="0"/>
        <v>26.4</v>
      </c>
      <c r="P7" s="2">
        <v>26.43</v>
      </c>
      <c r="Q7" s="867">
        <f t="shared" si="1"/>
        <v>0.03</v>
      </c>
    </row>
    <row r="8" spans="1:19" ht="15.75" x14ac:dyDescent="0.25">
      <c r="A8" s="96" t="s">
        <v>22</v>
      </c>
      <c r="B8" s="92">
        <v>1.5</v>
      </c>
      <c r="C8" s="83">
        <v>1.5</v>
      </c>
      <c r="D8" s="55"/>
      <c r="E8" s="78"/>
      <c r="F8" s="78"/>
      <c r="G8" s="55"/>
      <c r="H8" s="1">
        <v>6</v>
      </c>
      <c r="I8" s="1">
        <v>2</v>
      </c>
      <c r="J8" s="80">
        <v>5</v>
      </c>
      <c r="K8" s="418">
        <v>4.8</v>
      </c>
      <c r="L8" s="78"/>
      <c r="M8" s="84">
        <v>3</v>
      </c>
      <c r="N8" s="55"/>
      <c r="O8" s="95">
        <f t="shared" si="0"/>
        <v>23.8</v>
      </c>
      <c r="P8" s="2">
        <v>23.84</v>
      </c>
      <c r="Q8" s="867">
        <f t="shared" si="1"/>
        <v>0.04</v>
      </c>
    </row>
    <row r="9" spans="1:19" ht="15.75" x14ac:dyDescent="0.25">
      <c r="A9" s="96" t="s">
        <v>23</v>
      </c>
      <c r="B9" s="92">
        <v>1.5</v>
      </c>
      <c r="C9" s="83">
        <v>1.5</v>
      </c>
      <c r="D9" s="55"/>
      <c r="E9" s="78"/>
      <c r="F9" s="78"/>
      <c r="G9" s="55"/>
      <c r="H9" s="1">
        <v>6</v>
      </c>
      <c r="I9" s="1">
        <v>1.5</v>
      </c>
      <c r="J9" s="80">
        <v>5</v>
      </c>
      <c r="K9" s="418">
        <v>3</v>
      </c>
      <c r="L9" s="78"/>
      <c r="M9" s="84">
        <v>5.5</v>
      </c>
      <c r="N9" s="55"/>
      <c r="O9" s="95">
        <f t="shared" si="0"/>
        <v>24</v>
      </c>
      <c r="P9" s="2">
        <v>24</v>
      </c>
      <c r="Q9" s="867">
        <f t="shared" si="1"/>
        <v>0</v>
      </c>
    </row>
    <row r="10" spans="1:19" ht="15.75" x14ac:dyDescent="0.25">
      <c r="A10" s="96" t="s">
        <v>24</v>
      </c>
      <c r="B10" s="93">
        <v>1</v>
      </c>
      <c r="C10" s="83">
        <v>1</v>
      </c>
      <c r="D10" s="55"/>
      <c r="E10" s="78"/>
      <c r="F10" s="78"/>
      <c r="G10" s="55"/>
      <c r="H10" s="1">
        <v>6</v>
      </c>
      <c r="I10" s="1">
        <v>1.5</v>
      </c>
      <c r="J10" s="80">
        <v>4</v>
      </c>
      <c r="K10" s="418">
        <v>3.9</v>
      </c>
      <c r="L10" s="78"/>
      <c r="M10" s="84">
        <v>8.5</v>
      </c>
      <c r="N10" s="55"/>
      <c r="O10" s="95">
        <f t="shared" si="0"/>
        <v>25.9</v>
      </c>
      <c r="P10" s="2">
        <v>26</v>
      </c>
      <c r="Q10" s="867">
        <f t="shared" si="1"/>
        <v>0.1</v>
      </c>
    </row>
    <row r="11" spans="1:19" ht="15.75" x14ac:dyDescent="0.25">
      <c r="A11" s="96" t="s">
        <v>25</v>
      </c>
      <c r="B11" s="93">
        <v>5</v>
      </c>
      <c r="C11" s="83">
        <v>1</v>
      </c>
      <c r="D11" s="55"/>
      <c r="E11" s="78"/>
      <c r="F11" s="78"/>
      <c r="G11" s="55"/>
      <c r="H11" s="55"/>
      <c r="I11" s="1">
        <v>1</v>
      </c>
      <c r="J11" s="80">
        <v>1</v>
      </c>
      <c r="K11" s="418">
        <v>10.5</v>
      </c>
      <c r="L11" s="78"/>
      <c r="M11" s="84">
        <v>7.5</v>
      </c>
      <c r="N11" s="55"/>
      <c r="O11" s="95">
        <f t="shared" si="0"/>
        <v>26</v>
      </c>
      <c r="P11" s="2">
        <v>26</v>
      </c>
      <c r="Q11" s="867">
        <f t="shared" si="1"/>
        <v>0</v>
      </c>
    </row>
    <row r="12" spans="1:19" ht="15.75" x14ac:dyDescent="0.25">
      <c r="A12" s="96" t="s">
        <v>26</v>
      </c>
      <c r="B12" s="93">
        <v>5</v>
      </c>
      <c r="C12" s="83">
        <v>1</v>
      </c>
      <c r="D12" s="55"/>
      <c r="E12" s="78"/>
      <c r="F12" s="78"/>
      <c r="G12" s="55"/>
      <c r="H12" s="55"/>
      <c r="I12" s="55"/>
      <c r="J12" s="81"/>
      <c r="K12" s="418">
        <v>12.9</v>
      </c>
      <c r="L12" s="78"/>
      <c r="M12" s="84">
        <v>8</v>
      </c>
      <c r="N12" s="55"/>
      <c r="O12" s="95">
        <f t="shared" si="0"/>
        <v>26.9</v>
      </c>
      <c r="P12" s="2">
        <v>26.9</v>
      </c>
      <c r="Q12" s="867">
        <f t="shared" si="1"/>
        <v>0</v>
      </c>
    </row>
    <row r="13" spans="1:19" ht="15.75" x14ac:dyDescent="0.25">
      <c r="A13" s="96" t="s">
        <v>46</v>
      </c>
      <c r="B13" s="93">
        <v>7</v>
      </c>
      <c r="C13" s="81"/>
      <c r="D13" s="55"/>
      <c r="E13" s="78"/>
      <c r="F13" s="78"/>
      <c r="G13" s="55"/>
      <c r="H13" s="55"/>
      <c r="I13" s="55"/>
      <c r="J13" s="81"/>
      <c r="K13" s="418">
        <v>8.8000000000000007</v>
      </c>
      <c r="L13" s="78"/>
      <c r="M13" s="84">
        <v>13</v>
      </c>
      <c r="N13" s="55"/>
      <c r="O13" s="95">
        <f t="shared" si="0"/>
        <v>28.8</v>
      </c>
      <c r="P13" s="2">
        <v>28.84</v>
      </c>
      <c r="Q13" s="867">
        <f t="shared" si="1"/>
        <v>0.04</v>
      </c>
    </row>
    <row r="14" spans="1:19" ht="15.75" x14ac:dyDescent="0.25">
      <c r="A14" s="96" t="s">
        <v>47</v>
      </c>
      <c r="B14" s="93">
        <v>4</v>
      </c>
      <c r="C14" s="81"/>
      <c r="D14" s="55"/>
      <c r="E14" s="78"/>
      <c r="F14" s="406">
        <v>1</v>
      </c>
      <c r="G14" s="408">
        <v>1</v>
      </c>
      <c r="H14" s="55"/>
      <c r="I14" s="55"/>
      <c r="J14" s="81"/>
      <c r="K14" s="418">
        <v>12.4</v>
      </c>
      <c r="L14" s="78"/>
      <c r="M14" s="84">
        <v>9.5</v>
      </c>
      <c r="N14" s="55"/>
      <c r="O14" s="95">
        <f t="shared" si="0"/>
        <v>27.9</v>
      </c>
      <c r="P14" s="2">
        <v>27.99</v>
      </c>
      <c r="Q14" s="867">
        <f t="shared" si="1"/>
        <v>0.09</v>
      </c>
    </row>
    <row r="15" spans="1:19" ht="15.75" x14ac:dyDescent="0.25">
      <c r="A15" s="96" t="s">
        <v>48</v>
      </c>
      <c r="B15" s="93">
        <v>16.5</v>
      </c>
      <c r="C15" s="81"/>
      <c r="D15" s="55"/>
      <c r="E15" s="78"/>
      <c r="F15" s="406">
        <v>2.5</v>
      </c>
      <c r="G15" s="408">
        <v>1</v>
      </c>
      <c r="H15" s="55"/>
      <c r="I15" s="55"/>
      <c r="J15" s="81"/>
      <c r="K15" s="418">
        <v>8.6</v>
      </c>
      <c r="L15" s="78"/>
      <c r="M15" s="78"/>
      <c r="N15" s="55"/>
      <c r="O15" s="95">
        <f t="shared" si="0"/>
        <v>28.6</v>
      </c>
      <c r="P15" s="2">
        <v>28.63</v>
      </c>
      <c r="Q15" s="867">
        <f t="shared" si="1"/>
        <v>0.03</v>
      </c>
    </row>
    <row r="16" spans="1:19" s="58" customFormat="1" ht="18.75" thickBot="1" x14ac:dyDescent="0.3">
      <c r="A16" s="91"/>
      <c r="B16" s="97">
        <f>SUM(B10:B15)</f>
        <v>38.5</v>
      </c>
      <c r="C16" s="98">
        <f>SUM(C7:C12)</f>
        <v>7.5</v>
      </c>
      <c r="D16" s="76">
        <f>SUM(D4:D15)</f>
        <v>13</v>
      </c>
      <c r="E16" s="79"/>
      <c r="F16" s="407">
        <v>3.5</v>
      </c>
      <c r="G16" s="409">
        <v>2</v>
      </c>
      <c r="H16" s="76">
        <f>SUM(H4:H15)</f>
        <v>35</v>
      </c>
      <c r="I16" s="76">
        <f>SUM(I4:I15)</f>
        <v>14</v>
      </c>
      <c r="J16" s="82">
        <f>SUM(J4:J15)</f>
        <v>30</v>
      </c>
      <c r="K16" s="419">
        <f>SUM(K5:K15)</f>
        <v>87.5</v>
      </c>
      <c r="L16" s="79"/>
      <c r="M16" s="85">
        <f>SUM(M7:M14)</f>
        <v>60.5</v>
      </c>
      <c r="N16" s="76">
        <f>SUM(N4:N15)</f>
        <v>2</v>
      </c>
      <c r="O16" s="79">
        <f>SUM(O4:O15)</f>
        <v>310</v>
      </c>
      <c r="P16" s="56">
        <f>SUM(P4:P15)</f>
        <v>311.02999999999997</v>
      </c>
      <c r="Q16" s="57">
        <f>SUM(Q4:Q15)</f>
        <v>1.03</v>
      </c>
    </row>
    <row r="17" spans="1:19" x14ac:dyDescent="0.2">
      <c r="L17" s="5"/>
    </row>
    <row r="18" spans="1:19" x14ac:dyDescent="0.2">
      <c r="B18" s="113" t="s">
        <v>72</v>
      </c>
      <c r="C18" s="113" t="s">
        <v>52</v>
      </c>
      <c r="D18" s="113" t="s">
        <v>50</v>
      </c>
      <c r="F18" s="115" t="s">
        <v>86</v>
      </c>
      <c r="G18" s="115" t="s">
        <v>85</v>
      </c>
      <c r="H18" s="113" t="s">
        <v>60</v>
      </c>
      <c r="I18" s="113" t="s">
        <v>61</v>
      </c>
      <c r="J18" s="113" t="s">
        <v>65</v>
      </c>
      <c r="K18" s="113" t="s">
        <v>68</v>
      </c>
      <c r="L18" s="497"/>
      <c r="M18" s="113" t="s">
        <v>69</v>
      </c>
      <c r="N18" s="113" t="s">
        <v>51</v>
      </c>
    </row>
    <row r="19" spans="1:19" x14ac:dyDescent="0.2">
      <c r="B19" s="114" t="s">
        <v>81</v>
      </c>
      <c r="C19" s="115" t="s">
        <v>62</v>
      </c>
      <c r="D19" s="75"/>
      <c r="F19" s="116"/>
      <c r="G19" s="116"/>
      <c r="H19" s="75"/>
      <c r="I19" s="75"/>
      <c r="J19" s="75"/>
      <c r="K19" s="117"/>
      <c r="L19" s="116"/>
      <c r="M19" s="116"/>
      <c r="N19" s="46"/>
    </row>
    <row r="20" spans="1:19" ht="13.5" thickBot="1" x14ac:dyDescent="0.25">
      <c r="B20" s="5"/>
      <c r="E20" s="5"/>
    </row>
    <row r="21" spans="1:19" s="108" customFormat="1" ht="15.75" x14ac:dyDescent="0.25">
      <c r="A21" s="90">
        <v>2012</v>
      </c>
      <c r="B21" s="100" t="s">
        <v>93</v>
      </c>
      <c r="C21" s="101" t="s">
        <v>95</v>
      </c>
      <c r="D21" s="105" t="s">
        <v>94</v>
      </c>
      <c r="E21" s="107" t="s">
        <v>100</v>
      </c>
      <c r="F21" s="101" t="s">
        <v>84</v>
      </c>
      <c r="G21" s="102" t="s">
        <v>83</v>
      </c>
      <c r="H21" s="107" t="s">
        <v>99</v>
      </c>
      <c r="I21" s="104" t="s">
        <v>91</v>
      </c>
      <c r="J21" s="102" t="s">
        <v>92</v>
      </c>
      <c r="K21" s="109" t="s">
        <v>71</v>
      </c>
      <c r="L21" s="110" t="s">
        <v>215</v>
      </c>
      <c r="M21" s="110" t="s">
        <v>90</v>
      </c>
      <c r="N21" s="102" t="s">
        <v>101</v>
      </c>
      <c r="O21" s="94"/>
      <c r="P21" s="50"/>
      <c r="Q21" s="51"/>
    </row>
    <row r="22" spans="1:19" ht="15.75" x14ac:dyDescent="0.25">
      <c r="A22" s="96" t="s">
        <v>1</v>
      </c>
      <c r="B22" s="93">
        <v>6.5</v>
      </c>
      <c r="C22" s="55"/>
      <c r="D22" s="81"/>
      <c r="E22" s="78"/>
      <c r="F22" s="408">
        <v>1</v>
      </c>
      <c r="G22" s="83">
        <v>1.5</v>
      </c>
      <c r="H22" s="78"/>
      <c r="I22" s="55"/>
      <c r="J22" s="81"/>
      <c r="K22" s="84">
        <v>16.3</v>
      </c>
      <c r="L22" s="88"/>
      <c r="M22" s="93">
        <v>2.5</v>
      </c>
      <c r="N22" s="81"/>
      <c r="O22" s="95">
        <f t="shared" ref="O22:O33" si="2">SUM(B22:N22)</f>
        <v>27.8</v>
      </c>
      <c r="P22" s="861">
        <v>27.91</v>
      </c>
      <c r="Q22" s="867">
        <f t="shared" ref="Q22:Q33" si="3">P22-O22</f>
        <v>0.11</v>
      </c>
      <c r="S22" s="3"/>
    </row>
    <row r="23" spans="1:19" ht="15.75" x14ac:dyDescent="0.25">
      <c r="A23" s="96" t="s">
        <v>2</v>
      </c>
      <c r="B23" s="93">
        <v>2</v>
      </c>
      <c r="C23" s="55"/>
      <c r="D23" s="81"/>
      <c r="E23" s="874">
        <v>1</v>
      </c>
      <c r="F23" s="408">
        <v>2</v>
      </c>
      <c r="G23" s="83">
        <v>1.5</v>
      </c>
      <c r="H23" s="406">
        <v>2</v>
      </c>
      <c r="I23" s="408">
        <v>2</v>
      </c>
      <c r="J23" s="81"/>
      <c r="K23" s="84">
        <v>14.9</v>
      </c>
      <c r="L23" s="88"/>
      <c r="M23" s="93">
        <v>2.5</v>
      </c>
      <c r="N23" s="81"/>
      <c r="O23" s="95">
        <f t="shared" si="2"/>
        <v>27.9</v>
      </c>
      <c r="P23" s="861">
        <v>27.92</v>
      </c>
      <c r="Q23" s="867">
        <f t="shared" si="3"/>
        <v>0.02</v>
      </c>
      <c r="S23" s="3"/>
    </row>
    <row r="24" spans="1:19" ht="15.75" x14ac:dyDescent="0.25">
      <c r="A24" s="96" t="s">
        <v>3</v>
      </c>
      <c r="B24" s="93">
        <v>2</v>
      </c>
      <c r="C24" s="55"/>
      <c r="D24" s="81"/>
      <c r="E24" s="874">
        <v>1</v>
      </c>
      <c r="F24" s="408">
        <v>2</v>
      </c>
      <c r="G24" s="83">
        <v>1.5</v>
      </c>
      <c r="H24" s="406">
        <v>2</v>
      </c>
      <c r="I24" s="408">
        <v>2</v>
      </c>
      <c r="J24" s="81"/>
      <c r="K24" s="84">
        <v>14.3</v>
      </c>
      <c r="L24" s="88"/>
      <c r="M24" s="93">
        <v>3</v>
      </c>
      <c r="N24" s="880">
        <v>1</v>
      </c>
      <c r="O24" s="95">
        <f t="shared" si="2"/>
        <v>28.8</v>
      </c>
      <c r="P24" s="861">
        <v>28.95</v>
      </c>
      <c r="Q24" s="867">
        <f t="shared" si="3"/>
        <v>0.15</v>
      </c>
    </row>
    <row r="25" spans="1:19" ht="15.75" x14ac:dyDescent="0.25">
      <c r="A25" s="96" t="s">
        <v>21</v>
      </c>
      <c r="B25" s="88"/>
      <c r="C25" s="93">
        <v>3</v>
      </c>
      <c r="D25" s="81"/>
      <c r="E25" s="874">
        <v>1</v>
      </c>
      <c r="F25" s="408">
        <v>2</v>
      </c>
      <c r="G25" s="83">
        <v>1.5</v>
      </c>
      <c r="H25" s="406">
        <v>2</v>
      </c>
      <c r="I25" s="408">
        <v>1</v>
      </c>
      <c r="J25" s="81"/>
      <c r="K25" s="84">
        <v>14</v>
      </c>
      <c r="L25" s="88"/>
      <c r="M25" s="93">
        <v>3</v>
      </c>
      <c r="N25" s="880">
        <v>1.5</v>
      </c>
      <c r="O25" s="95">
        <f t="shared" si="2"/>
        <v>29</v>
      </c>
      <c r="P25" s="861">
        <v>29</v>
      </c>
      <c r="Q25" s="867">
        <f t="shared" si="3"/>
        <v>0</v>
      </c>
    </row>
    <row r="26" spans="1:19" ht="15.75" x14ac:dyDescent="0.25">
      <c r="A26" s="96" t="s">
        <v>22</v>
      </c>
      <c r="B26" s="88"/>
      <c r="C26" s="93">
        <v>2</v>
      </c>
      <c r="D26" s="93">
        <v>3</v>
      </c>
      <c r="E26" s="874">
        <v>1</v>
      </c>
      <c r="F26" s="408">
        <v>3</v>
      </c>
      <c r="G26" s="83">
        <v>5.5</v>
      </c>
      <c r="H26" s="406">
        <v>6</v>
      </c>
      <c r="I26" s="408">
        <v>2</v>
      </c>
      <c r="J26" s="81"/>
      <c r="K26" s="87"/>
      <c r="L26" s="88"/>
      <c r="M26" s="93">
        <v>4</v>
      </c>
      <c r="N26" s="880">
        <v>2.5</v>
      </c>
      <c r="O26" s="95">
        <f t="shared" si="2"/>
        <v>29</v>
      </c>
      <c r="P26" s="861">
        <v>29</v>
      </c>
      <c r="Q26" s="867">
        <f t="shared" si="3"/>
        <v>0</v>
      </c>
    </row>
    <row r="27" spans="1:19" ht="15.75" x14ac:dyDescent="0.25">
      <c r="A27" s="96" t="s">
        <v>23</v>
      </c>
      <c r="B27" s="88"/>
      <c r="C27" s="55"/>
      <c r="D27" s="93">
        <v>3</v>
      </c>
      <c r="E27" s="874">
        <v>1</v>
      </c>
      <c r="F27" s="408">
        <v>6</v>
      </c>
      <c r="G27" s="83">
        <v>6.5</v>
      </c>
      <c r="H27" s="406">
        <v>5.5</v>
      </c>
      <c r="I27" s="408">
        <v>3</v>
      </c>
      <c r="J27" s="81"/>
      <c r="K27" s="87"/>
      <c r="L27" s="88"/>
      <c r="M27" s="93">
        <v>2.5</v>
      </c>
      <c r="N27" s="880">
        <v>2.5</v>
      </c>
      <c r="O27" s="95">
        <f t="shared" si="2"/>
        <v>30</v>
      </c>
      <c r="P27" s="861">
        <v>30.28</v>
      </c>
      <c r="Q27" s="867">
        <f t="shared" si="3"/>
        <v>0.28000000000000003</v>
      </c>
    </row>
    <row r="28" spans="1:19" ht="15.75" x14ac:dyDescent="0.25">
      <c r="A28" s="96" t="s">
        <v>24</v>
      </c>
      <c r="B28" s="88"/>
      <c r="C28" s="55"/>
      <c r="D28" s="81"/>
      <c r="E28" s="874">
        <v>1.5</v>
      </c>
      <c r="F28" s="408">
        <v>3</v>
      </c>
      <c r="G28" s="83">
        <v>7</v>
      </c>
      <c r="H28" s="406">
        <v>9</v>
      </c>
      <c r="I28" s="408">
        <v>5</v>
      </c>
      <c r="J28" s="81"/>
      <c r="K28" s="87"/>
      <c r="L28" s="88"/>
      <c r="M28" s="93">
        <v>3.5</v>
      </c>
      <c r="N28" s="880">
        <v>2.5</v>
      </c>
      <c r="O28" s="95">
        <f t="shared" si="2"/>
        <v>31.5</v>
      </c>
      <c r="P28" s="861">
        <v>31.87</v>
      </c>
      <c r="Q28" s="867">
        <f t="shared" si="3"/>
        <v>0.37</v>
      </c>
    </row>
    <row r="29" spans="1:19" ht="15.75" x14ac:dyDescent="0.25">
      <c r="A29" s="96" t="s">
        <v>25</v>
      </c>
      <c r="B29" s="88"/>
      <c r="C29" s="55"/>
      <c r="D29" s="81"/>
      <c r="E29" s="874">
        <v>1.5</v>
      </c>
      <c r="F29" s="55"/>
      <c r="G29" s="83">
        <v>3</v>
      </c>
      <c r="H29" s="406">
        <v>13</v>
      </c>
      <c r="I29" s="408">
        <v>6</v>
      </c>
      <c r="J29" s="81"/>
      <c r="K29" s="87"/>
      <c r="L29" s="875">
        <v>0.5</v>
      </c>
      <c r="M29" s="93">
        <v>5.5</v>
      </c>
      <c r="N29" s="880">
        <v>2.5</v>
      </c>
      <c r="O29" s="95">
        <f t="shared" si="2"/>
        <v>32</v>
      </c>
      <c r="P29" s="861">
        <v>32</v>
      </c>
      <c r="Q29" s="867">
        <f t="shared" si="3"/>
        <v>0</v>
      </c>
    </row>
    <row r="30" spans="1:19" ht="15.75" x14ac:dyDescent="0.25">
      <c r="A30" s="96" t="s">
        <v>26</v>
      </c>
      <c r="B30" s="88"/>
      <c r="C30" s="55"/>
      <c r="D30" s="81"/>
      <c r="E30" s="78">
        <v>6</v>
      </c>
      <c r="F30" s="55"/>
      <c r="G30" s="81"/>
      <c r="H30" s="406">
        <v>14</v>
      </c>
      <c r="I30" s="408">
        <v>3</v>
      </c>
      <c r="J30" s="81">
        <v>4</v>
      </c>
      <c r="K30" s="87"/>
      <c r="L30" s="88">
        <v>4.5</v>
      </c>
      <c r="M30" s="93">
        <v>5</v>
      </c>
      <c r="N30" s="880">
        <v>2</v>
      </c>
      <c r="O30" s="95">
        <f t="shared" si="2"/>
        <v>38.5</v>
      </c>
      <c r="P30" s="861">
        <v>38.83</v>
      </c>
      <c r="Q30" s="867">
        <f t="shared" si="3"/>
        <v>0.33</v>
      </c>
    </row>
    <row r="31" spans="1:19" ht="15.75" x14ac:dyDescent="0.25">
      <c r="A31" s="96" t="s">
        <v>46</v>
      </c>
      <c r="B31" s="88"/>
      <c r="C31" s="55"/>
      <c r="D31" s="81"/>
      <c r="E31" s="78">
        <v>8</v>
      </c>
      <c r="F31" s="55"/>
      <c r="G31" s="81"/>
      <c r="H31" s="406">
        <v>14</v>
      </c>
      <c r="I31" s="55"/>
      <c r="J31" s="81">
        <v>9</v>
      </c>
      <c r="K31" s="87"/>
      <c r="L31" s="88">
        <v>4.5</v>
      </c>
      <c r="M31" s="88"/>
      <c r="N31" s="880">
        <v>2</v>
      </c>
      <c r="O31" s="95">
        <f t="shared" si="2"/>
        <v>37.5</v>
      </c>
      <c r="P31" s="861">
        <v>37.700000000000003</v>
      </c>
      <c r="Q31" s="867">
        <f t="shared" si="3"/>
        <v>0.2</v>
      </c>
    </row>
    <row r="32" spans="1:19" ht="15.75" x14ac:dyDescent="0.25">
      <c r="A32" s="96" t="s">
        <v>47</v>
      </c>
      <c r="B32" s="88"/>
      <c r="C32" s="55"/>
      <c r="D32" s="81"/>
      <c r="E32" s="78">
        <v>8</v>
      </c>
      <c r="F32" s="55"/>
      <c r="G32" s="81"/>
      <c r="H32" s="406">
        <v>14</v>
      </c>
      <c r="I32" s="55"/>
      <c r="J32" s="81">
        <v>9</v>
      </c>
      <c r="K32" s="87"/>
      <c r="L32" s="88">
        <v>4</v>
      </c>
      <c r="M32" s="88"/>
      <c r="N32" s="880">
        <v>2</v>
      </c>
      <c r="O32" s="95">
        <f t="shared" si="2"/>
        <v>37</v>
      </c>
      <c r="P32" s="866">
        <v>37.5</v>
      </c>
      <c r="Q32" s="867">
        <f t="shared" si="3"/>
        <v>0.5</v>
      </c>
    </row>
    <row r="33" spans="1:19" ht="15.75" x14ac:dyDescent="0.25">
      <c r="A33" s="96" t="s">
        <v>48</v>
      </c>
      <c r="B33" s="88"/>
      <c r="C33" s="55"/>
      <c r="D33" s="81"/>
      <c r="E33" s="78">
        <v>8</v>
      </c>
      <c r="F33" s="55"/>
      <c r="G33" s="81"/>
      <c r="H33" s="406">
        <v>7</v>
      </c>
      <c r="I33" s="55"/>
      <c r="J33" s="81">
        <v>13</v>
      </c>
      <c r="K33" s="87"/>
      <c r="L33" s="88">
        <v>1</v>
      </c>
      <c r="M33" s="88"/>
      <c r="N33" s="880">
        <v>2</v>
      </c>
      <c r="O33" s="95">
        <f t="shared" si="2"/>
        <v>31</v>
      </c>
      <c r="P33" s="866">
        <v>37.5</v>
      </c>
      <c r="Q33" s="867">
        <f t="shared" si="3"/>
        <v>6.5</v>
      </c>
    </row>
    <row r="34" spans="1:19" s="58" customFormat="1" ht="18.75" thickBot="1" x14ac:dyDescent="0.3">
      <c r="A34" s="91"/>
      <c r="B34" s="97">
        <f t="shared" ref="B34:P34" si="4">SUM(B22:B33)</f>
        <v>10.5</v>
      </c>
      <c r="C34" s="97">
        <f t="shared" si="4"/>
        <v>5</v>
      </c>
      <c r="D34" s="97">
        <f t="shared" si="4"/>
        <v>6</v>
      </c>
      <c r="E34" s="79">
        <f t="shared" si="4"/>
        <v>38</v>
      </c>
      <c r="F34" s="409">
        <f t="shared" si="4"/>
        <v>19</v>
      </c>
      <c r="G34" s="98">
        <f t="shared" si="4"/>
        <v>28</v>
      </c>
      <c r="H34" s="407">
        <f t="shared" si="4"/>
        <v>88.5</v>
      </c>
      <c r="I34" s="409">
        <f t="shared" si="4"/>
        <v>24</v>
      </c>
      <c r="J34" s="57">
        <f t="shared" si="4"/>
        <v>35</v>
      </c>
      <c r="K34" s="85">
        <f t="shared" si="4"/>
        <v>59.5</v>
      </c>
      <c r="L34" s="89">
        <f t="shared" ref="L34" si="5">SUM(L22:L33)</f>
        <v>14.5</v>
      </c>
      <c r="M34" s="97">
        <f t="shared" si="4"/>
        <v>31.5</v>
      </c>
      <c r="N34" s="881">
        <f t="shared" si="4"/>
        <v>20.5</v>
      </c>
      <c r="O34" s="79">
        <f t="shared" si="4"/>
        <v>380</v>
      </c>
      <c r="P34" s="56">
        <f t="shared" si="4"/>
        <v>388.46</v>
      </c>
      <c r="Q34" s="57">
        <f>SUM(Q22:Q33)</f>
        <v>8.4600000000000009</v>
      </c>
    </row>
    <row r="35" spans="1:19" x14ac:dyDescent="0.2">
      <c r="B35" s="111">
        <v>40909</v>
      </c>
      <c r="C35" s="111">
        <v>41000</v>
      </c>
      <c r="D35" s="111">
        <v>41045</v>
      </c>
      <c r="E35" s="77">
        <v>40940</v>
      </c>
      <c r="F35" s="111">
        <v>40909</v>
      </c>
      <c r="G35" s="111">
        <v>40909</v>
      </c>
      <c r="H35" s="111">
        <v>40940</v>
      </c>
      <c r="I35" s="111">
        <v>40940</v>
      </c>
      <c r="J35" s="77">
        <v>41173</v>
      </c>
      <c r="K35" s="862">
        <v>40578</v>
      </c>
      <c r="L35" s="77">
        <v>41122</v>
      </c>
      <c r="M35" s="111">
        <v>40918</v>
      </c>
      <c r="N35" s="882">
        <v>40969</v>
      </c>
    </row>
    <row r="36" spans="1:19" x14ac:dyDescent="0.2">
      <c r="B36" s="111">
        <v>40999</v>
      </c>
      <c r="C36" s="111">
        <v>41044</v>
      </c>
      <c r="D36" s="111">
        <v>41075</v>
      </c>
      <c r="E36" s="77">
        <v>41274</v>
      </c>
      <c r="F36" s="111">
        <v>41110</v>
      </c>
      <c r="G36" s="111">
        <v>41136</v>
      </c>
      <c r="H36" s="111">
        <v>41263</v>
      </c>
      <c r="I36" s="111">
        <v>41172</v>
      </c>
      <c r="J36" s="77">
        <v>41274</v>
      </c>
      <c r="K36" s="863" t="s">
        <v>87</v>
      </c>
      <c r="L36" s="77">
        <v>41274</v>
      </c>
      <c r="M36" s="111">
        <v>41182</v>
      </c>
      <c r="N36" s="882">
        <v>41274</v>
      </c>
    </row>
    <row r="37" spans="1:19" x14ac:dyDescent="0.2">
      <c r="B37" s="118">
        <v>10.5</v>
      </c>
      <c r="C37" s="118">
        <v>5</v>
      </c>
      <c r="D37" s="118">
        <v>6</v>
      </c>
      <c r="E37" s="119">
        <v>38</v>
      </c>
      <c r="F37" s="118">
        <v>19</v>
      </c>
      <c r="G37" s="118">
        <v>28</v>
      </c>
      <c r="H37" s="118">
        <v>88.5</v>
      </c>
      <c r="I37" s="118">
        <v>24</v>
      </c>
      <c r="J37" s="119">
        <v>35</v>
      </c>
      <c r="K37" s="864">
        <v>59.5</v>
      </c>
      <c r="L37" s="119">
        <v>14.5</v>
      </c>
      <c r="M37" s="118">
        <v>31.5</v>
      </c>
      <c r="N37" s="869">
        <v>20.5</v>
      </c>
    </row>
    <row r="38" spans="1:19" x14ac:dyDescent="0.2">
      <c r="B38" s="112">
        <f t="shared" ref="B38:N38" si="6">B34-B37</f>
        <v>0</v>
      </c>
      <c r="C38" s="112">
        <f t="shared" si="6"/>
        <v>0</v>
      </c>
      <c r="D38" s="112">
        <f t="shared" si="6"/>
        <v>0</v>
      </c>
      <c r="E38" s="99">
        <f t="shared" si="6"/>
        <v>0</v>
      </c>
      <c r="F38" s="112">
        <f t="shared" si="6"/>
        <v>0</v>
      </c>
      <c r="G38" s="112">
        <f t="shared" si="6"/>
        <v>0</v>
      </c>
      <c r="H38" s="112">
        <f t="shared" si="6"/>
        <v>0</v>
      </c>
      <c r="I38" s="112">
        <f t="shared" si="6"/>
        <v>0</v>
      </c>
      <c r="J38" s="99">
        <f t="shared" si="6"/>
        <v>0</v>
      </c>
      <c r="K38" s="865">
        <f t="shared" si="6"/>
        <v>0</v>
      </c>
      <c r="L38" s="99">
        <f t="shared" ref="L38" si="7">L34-L37</f>
        <v>0</v>
      </c>
      <c r="M38" s="112">
        <f t="shared" si="6"/>
        <v>0</v>
      </c>
      <c r="N38" s="883">
        <f t="shared" si="6"/>
        <v>0</v>
      </c>
    </row>
    <row r="39" spans="1:19" ht="16.5" thickBot="1" x14ac:dyDescent="0.25">
      <c r="C39" s="45"/>
      <c r="D39" s="48"/>
      <c r="G39" s="45"/>
    </row>
    <row r="40" spans="1:19" s="108" customFormat="1" ht="15.75" x14ac:dyDescent="0.25">
      <c r="A40" s="90">
        <v>2013</v>
      </c>
      <c r="B40" s="100" t="s">
        <v>437</v>
      </c>
      <c r="C40" s="101" t="s">
        <v>438</v>
      </c>
      <c r="D40" s="102" t="s">
        <v>439</v>
      </c>
      <c r="E40" s="107" t="s">
        <v>100</v>
      </c>
      <c r="F40" s="107" t="s">
        <v>436</v>
      </c>
      <c r="G40" s="102"/>
      <c r="H40" s="107" t="s">
        <v>434</v>
      </c>
      <c r="I40" s="101" t="s">
        <v>440</v>
      </c>
      <c r="J40" s="102" t="s">
        <v>92</v>
      </c>
      <c r="K40" s="860"/>
      <c r="L40" s="871" t="s">
        <v>215</v>
      </c>
      <c r="M40" s="870" t="s">
        <v>435</v>
      </c>
      <c r="N40" s="102" t="s">
        <v>101</v>
      </c>
      <c r="O40" s="94"/>
      <c r="P40" s="50"/>
      <c r="Q40" s="51"/>
    </row>
    <row r="41" spans="1:19" ht="15.75" x14ac:dyDescent="0.25">
      <c r="A41" s="96" t="s">
        <v>1</v>
      </c>
      <c r="B41" s="88"/>
      <c r="C41" s="55"/>
      <c r="D41" s="81"/>
      <c r="E41" s="78">
        <v>6</v>
      </c>
      <c r="F41" s="55"/>
      <c r="G41" s="81"/>
      <c r="H41" s="78">
        <v>12</v>
      </c>
      <c r="I41" s="55"/>
      <c r="J41" s="81">
        <v>15</v>
      </c>
      <c r="K41" s="78"/>
      <c r="L41" s="88">
        <v>3</v>
      </c>
      <c r="M41" s="88"/>
      <c r="N41" s="880">
        <v>1</v>
      </c>
      <c r="O41" s="95">
        <f t="shared" ref="O41:O52" si="8">SUM(B41:N41)</f>
        <v>37</v>
      </c>
      <c r="P41" s="866">
        <v>37.5</v>
      </c>
      <c r="Q41" s="867">
        <f t="shared" ref="Q41:Q52" si="9">P41-O41</f>
        <v>0.5</v>
      </c>
      <c r="S41" s="3"/>
    </row>
    <row r="42" spans="1:19" ht="15.75" x14ac:dyDescent="0.25">
      <c r="A42" s="96" t="s">
        <v>2</v>
      </c>
      <c r="B42" s="88"/>
      <c r="C42" s="55"/>
      <c r="D42" s="81"/>
      <c r="E42" s="78">
        <v>4</v>
      </c>
      <c r="F42" s="78"/>
      <c r="G42" s="81"/>
      <c r="H42" s="78">
        <v>18</v>
      </c>
      <c r="I42" s="55"/>
      <c r="J42" s="81">
        <v>10</v>
      </c>
      <c r="K42" s="78"/>
      <c r="L42" s="88">
        <v>3</v>
      </c>
      <c r="M42" s="88">
        <v>2</v>
      </c>
      <c r="N42" s="81"/>
      <c r="O42" s="95">
        <f t="shared" si="8"/>
        <v>37</v>
      </c>
      <c r="P42" s="130">
        <v>37.5</v>
      </c>
      <c r="Q42" s="867">
        <f t="shared" si="9"/>
        <v>0.5</v>
      </c>
      <c r="S42" s="3"/>
    </row>
    <row r="43" spans="1:19" ht="15.75" x14ac:dyDescent="0.25">
      <c r="A43" s="96" t="s">
        <v>3</v>
      </c>
      <c r="B43" s="88"/>
      <c r="C43" s="55"/>
      <c r="D43" s="81"/>
      <c r="E43" s="78">
        <v>4</v>
      </c>
      <c r="F43" s="78"/>
      <c r="G43" s="81"/>
      <c r="H43" s="78">
        <v>18</v>
      </c>
      <c r="I43" s="55"/>
      <c r="J43" s="81">
        <v>8</v>
      </c>
      <c r="K43" s="78"/>
      <c r="L43" s="88">
        <v>3</v>
      </c>
      <c r="M43" s="88">
        <v>2</v>
      </c>
      <c r="N43" s="81"/>
      <c r="O43" s="95">
        <f t="shared" si="8"/>
        <v>35</v>
      </c>
      <c r="P43" s="130">
        <v>37.5</v>
      </c>
      <c r="Q43" s="867">
        <f t="shared" si="9"/>
        <v>2.5</v>
      </c>
    </row>
    <row r="44" spans="1:19" ht="15.75" x14ac:dyDescent="0.25">
      <c r="A44" s="96" t="s">
        <v>21</v>
      </c>
      <c r="B44" s="88"/>
      <c r="C44" s="55"/>
      <c r="D44" s="81"/>
      <c r="E44" s="78">
        <v>4</v>
      </c>
      <c r="F44" s="78"/>
      <c r="G44" s="81"/>
      <c r="H44" s="78">
        <v>17.5</v>
      </c>
      <c r="I44" s="55"/>
      <c r="J44" s="81">
        <v>8</v>
      </c>
      <c r="K44" s="78"/>
      <c r="L44" s="88">
        <v>3.5</v>
      </c>
      <c r="M44" s="88">
        <v>2</v>
      </c>
      <c r="N44" s="81"/>
      <c r="O44" s="95">
        <f t="shared" si="8"/>
        <v>35</v>
      </c>
      <c r="P44" s="130">
        <v>37.5</v>
      </c>
      <c r="Q44" s="867">
        <f t="shared" si="9"/>
        <v>2.5</v>
      </c>
    </row>
    <row r="45" spans="1:19" ht="15.75" x14ac:dyDescent="0.25">
      <c r="A45" s="96" t="s">
        <v>22</v>
      </c>
      <c r="B45" s="88"/>
      <c r="C45" s="55"/>
      <c r="D45" s="81"/>
      <c r="E45" s="78">
        <v>3</v>
      </c>
      <c r="F45" s="78"/>
      <c r="G45" s="81"/>
      <c r="H45" s="78">
        <v>20</v>
      </c>
      <c r="I45" s="55"/>
      <c r="J45" s="81">
        <v>8</v>
      </c>
      <c r="K45" s="87"/>
      <c r="L45" s="88">
        <v>3.5</v>
      </c>
      <c r="M45" s="88">
        <v>0.5</v>
      </c>
      <c r="N45" s="81"/>
      <c r="O45" s="95">
        <f t="shared" si="8"/>
        <v>35</v>
      </c>
      <c r="P45" s="130">
        <v>37.5</v>
      </c>
      <c r="Q45" s="867">
        <f t="shared" si="9"/>
        <v>2.5</v>
      </c>
    </row>
    <row r="46" spans="1:19" ht="15.75" x14ac:dyDescent="0.25">
      <c r="A46" s="96" t="s">
        <v>23</v>
      </c>
      <c r="B46" s="88"/>
      <c r="C46" s="55"/>
      <c r="D46" s="81"/>
      <c r="E46" s="78">
        <v>1.5</v>
      </c>
      <c r="F46" s="78"/>
      <c r="G46" s="81"/>
      <c r="H46" s="78">
        <v>20</v>
      </c>
      <c r="I46" s="55"/>
      <c r="J46" s="81">
        <v>9</v>
      </c>
      <c r="K46" s="87"/>
      <c r="L46" s="88">
        <v>3.5</v>
      </c>
      <c r="M46" s="88"/>
      <c r="N46" s="81"/>
      <c r="O46" s="95">
        <f t="shared" si="8"/>
        <v>34</v>
      </c>
      <c r="P46" s="130">
        <v>37.5</v>
      </c>
      <c r="Q46" s="867">
        <f t="shared" si="9"/>
        <v>3.5</v>
      </c>
    </row>
    <row r="47" spans="1:19" ht="15.75" x14ac:dyDescent="0.25">
      <c r="A47" s="96" t="s">
        <v>24</v>
      </c>
      <c r="B47" s="88"/>
      <c r="C47" s="55"/>
      <c r="D47" s="81"/>
      <c r="E47" s="78"/>
      <c r="F47" s="78">
        <v>4</v>
      </c>
      <c r="G47" s="81"/>
      <c r="H47" s="78">
        <v>21</v>
      </c>
      <c r="I47" s="55"/>
      <c r="J47" s="81">
        <v>9</v>
      </c>
      <c r="K47" s="87"/>
      <c r="L47" s="88"/>
      <c r="M47" s="88"/>
      <c r="N47" s="81"/>
      <c r="O47" s="95">
        <f t="shared" si="8"/>
        <v>34</v>
      </c>
      <c r="P47" s="130">
        <v>37.5</v>
      </c>
      <c r="Q47" s="867">
        <f t="shared" si="9"/>
        <v>3.5</v>
      </c>
    </row>
    <row r="48" spans="1:19" ht="15.75" x14ac:dyDescent="0.25">
      <c r="A48" s="96" t="s">
        <v>25</v>
      </c>
      <c r="B48" s="88"/>
      <c r="C48" s="55"/>
      <c r="D48" s="81"/>
      <c r="E48" s="78"/>
      <c r="F48" s="78">
        <v>3.5</v>
      </c>
      <c r="G48" s="81"/>
      <c r="H48" s="78">
        <v>21</v>
      </c>
      <c r="I48" s="55"/>
      <c r="J48" s="81">
        <v>9</v>
      </c>
      <c r="K48" s="87"/>
      <c r="L48" s="88"/>
      <c r="M48" s="88"/>
      <c r="N48" s="81"/>
      <c r="O48" s="95">
        <f t="shared" si="8"/>
        <v>33.5</v>
      </c>
      <c r="P48" s="130">
        <v>37.5</v>
      </c>
      <c r="Q48" s="867">
        <f t="shared" si="9"/>
        <v>4</v>
      </c>
    </row>
    <row r="49" spans="1:17" ht="15.75" x14ac:dyDescent="0.25">
      <c r="A49" s="96" t="s">
        <v>26</v>
      </c>
      <c r="B49" s="88"/>
      <c r="C49" s="55"/>
      <c r="D49" s="81"/>
      <c r="E49" s="78"/>
      <c r="F49" s="78">
        <v>3.5</v>
      </c>
      <c r="G49" s="81"/>
      <c r="H49" s="78">
        <v>21</v>
      </c>
      <c r="I49" s="55"/>
      <c r="J49" s="81">
        <v>9</v>
      </c>
      <c r="K49" s="87"/>
      <c r="L49" s="88"/>
      <c r="M49" s="88"/>
      <c r="N49" s="81"/>
      <c r="O49" s="95">
        <f t="shared" si="8"/>
        <v>33.5</v>
      </c>
      <c r="P49" s="130">
        <v>37.5</v>
      </c>
      <c r="Q49" s="867">
        <f t="shared" si="9"/>
        <v>4</v>
      </c>
    </row>
    <row r="50" spans="1:17" ht="15.75" x14ac:dyDescent="0.25">
      <c r="A50" s="96" t="s">
        <v>46</v>
      </c>
      <c r="B50" s="88"/>
      <c r="C50" s="55"/>
      <c r="D50" s="81"/>
      <c r="E50" s="78"/>
      <c r="F50" s="78">
        <v>3.5</v>
      </c>
      <c r="G50" s="81"/>
      <c r="H50" s="78">
        <v>21</v>
      </c>
      <c r="I50" s="55"/>
      <c r="J50" s="81">
        <v>9</v>
      </c>
      <c r="K50" s="87"/>
      <c r="L50" s="88"/>
      <c r="M50" s="88"/>
      <c r="N50" s="81"/>
      <c r="O50" s="95">
        <f t="shared" si="8"/>
        <v>33.5</v>
      </c>
      <c r="P50" s="130">
        <v>37.5</v>
      </c>
      <c r="Q50" s="867">
        <f t="shared" si="9"/>
        <v>4</v>
      </c>
    </row>
    <row r="51" spans="1:17" ht="15.75" x14ac:dyDescent="0.25">
      <c r="A51" s="96" t="s">
        <v>47</v>
      </c>
      <c r="B51" s="88"/>
      <c r="C51" s="55"/>
      <c r="D51" s="81"/>
      <c r="E51" s="78"/>
      <c r="F51" s="78">
        <v>3.5</v>
      </c>
      <c r="G51" s="81"/>
      <c r="H51" s="78">
        <v>21</v>
      </c>
      <c r="I51" s="55"/>
      <c r="J51" s="81">
        <v>9</v>
      </c>
      <c r="K51" s="87"/>
      <c r="L51" s="88"/>
      <c r="M51" s="88"/>
      <c r="N51" s="81"/>
      <c r="O51" s="95">
        <f t="shared" si="8"/>
        <v>33.5</v>
      </c>
      <c r="P51" s="130">
        <v>37.5</v>
      </c>
      <c r="Q51" s="867">
        <f t="shared" si="9"/>
        <v>4</v>
      </c>
    </row>
    <row r="52" spans="1:17" ht="15.75" x14ac:dyDescent="0.25">
      <c r="A52" s="96" t="s">
        <v>48</v>
      </c>
      <c r="B52" s="88"/>
      <c r="C52" s="55"/>
      <c r="D52" s="81"/>
      <c r="E52" s="78"/>
      <c r="F52" s="78">
        <v>3.5</v>
      </c>
      <c r="G52" s="81"/>
      <c r="H52" s="78">
        <v>21</v>
      </c>
      <c r="I52" s="55"/>
      <c r="J52" s="81">
        <v>7</v>
      </c>
      <c r="K52" s="87"/>
      <c r="L52" s="88"/>
      <c r="M52" s="88"/>
      <c r="N52" s="81"/>
      <c r="O52" s="95">
        <f t="shared" si="8"/>
        <v>31.5</v>
      </c>
      <c r="P52" s="130">
        <v>37.5</v>
      </c>
      <c r="Q52" s="867">
        <f t="shared" si="9"/>
        <v>6</v>
      </c>
    </row>
    <row r="53" spans="1:17" s="58" customFormat="1" ht="18.75" thickBot="1" x14ac:dyDescent="0.3">
      <c r="A53" s="91"/>
      <c r="B53" s="89">
        <f t="shared" ref="B53:Q53" si="10">SUM(B41:B52)</f>
        <v>0</v>
      </c>
      <c r="C53" s="79">
        <f t="shared" si="10"/>
        <v>0</v>
      </c>
      <c r="D53" s="868">
        <f t="shared" si="10"/>
        <v>0</v>
      </c>
      <c r="E53" s="79">
        <f t="shared" si="10"/>
        <v>22.5</v>
      </c>
      <c r="F53" s="79">
        <f t="shared" ref="F53" si="11">SUM(F41:F52)</f>
        <v>21.5</v>
      </c>
      <c r="G53" s="57"/>
      <c r="H53" s="79">
        <f t="shared" si="10"/>
        <v>231.5</v>
      </c>
      <c r="I53" s="79">
        <f t="shared" si="10"/>
        <v>0</v>
      </c>
      <c r="J53" s="57">
        <f t="shared" si="10"/>
        <v>110</v>
      </c>
      <c r="K53" s="79"/>
      <c r="L53" s="89">
        <f t="shared" si="10"/>
        <v>19.5</v>
      </c>
      <c r="M53" s="89">
        <f t="shared" si="10"/>
        <v>6.5</v>
      </c>
      <c r="N53" s="57">
        <f t="shared" si="10"/>
        <v>1</v>
      </c>
      <c r="O53" s="79">
        <f t="shared" si="10"/>
        <v>412.5</v>
      </c>
      <c r="P53" s="56">
        <f t="shared" si="10"/>
        <v>450</v>
      </c>
      <c r="Q53" s="57">
        <f t="shared" si="10"/>
        <v>37.5</v>
      </c>
    </row>
    <row r="54" spans="1:17" x14ac:dyDescent="0.2">
      <c r="B54" s="857">
        <v>41365</v>
      </c>
      <c r="C54" s="857">
        <v>41365</v>
      </c>
      <c r="D54" s="857">
        <v>41365</v>
      </c>
      <c r="E54" s="77">
        <v>41275</v>
      </c>
      <c r="F54" s="77">
        <v>41456</v>
      </c>
      <c r="G54" s="857"/>
      <c r="H54" s="77">
        <v>41284</v>
      </c>
      <c r="I54" s="857">
        <v>41334</v>
      </c>
      <c r="J54" s="77">
        <v>41275</v>
      </c>
      <c r="K54" s="857"/>
      <c r="L54" s="77">
        <v>41275</v>
      </c>
      <c r="M54" s="857">
        <v>41306</v>
      </c>
      <c r="N54" s="77">
        <v>41275</v>
      </c>
    </row>
    <row r="55" spans="1:17" x14ac:dyDescent="0.2">
      <c r="B55" s="857">
        <v>41628</v>
      </c>
      <c r="C55" s="857">
        <v>41628</v>
      </c>
      <c r="D55" s="857">
        <v>41628</v>
      </c>
      <c r="E55" s="77">
        <v>41445</v>
      </c>
      <c r="F55" s="77">
        <v>41639</v>
      </c>
      <c r="G55" s="857"/>
      <c r="H55" s="77">
        <v>41639</v>
      </c>
      <c r="I55" s="857">
        <v>41639</v>
      </c>
      <c r="J55" s="77">
        <v>41628</v>
      </c>
      <c r="K55" s="117"/>
      <c r="L55" s="77">
        <v>41455</v>
      </c>
      <c r="M55" s="857">
        <v>41414</v>
      </c>
      <c r="N55" s="77">
        <v>41289</v>
      </c>
    </row>
    <row r="56" spans="1:17" x14ac:dyDescent="0.2">
      <c r="B56" s="869">
        <v>0</v>
      </c>
      <c r="C56" s="869">
        <v>0</v>
      </c>
      <c r="D56" s="869">
        <v>0</v>
      </c>
      <c r="E56" s="119">
        <v>22.5</v>
      </c>
      <c r="F56" s="119">
        <v>21.5</v>
      </c>
      <c r="G56" s="858"/>
      <c r="H56" s="119">
        <v>231.5</v>
      </c>
      <c r="I56" s="869">
        <v>0</v>
      </c>
      <c r="J56" s="119">
        <v>110</v>
      </c>
      <c r="K56" s="858"/>
      <c r="L56" s="119">
        <v>19.5</v>
      </c>
      <c r="M56" s="858">
        <v>6.5</v>
      </c>
      <c r="N56" s="119">
        <v>1</v>
      </c>
    </row>
    <row r="57" spans="1:17" x14ac:dyDescent="0.2">
      <c r="B57" s="99">
        <f t="shared" ref="B57:C57" si="12">B53-B56</f>
        <v>0</v>
      </c>
      <c r="C57" s="99">
        <f t="shared" si="12"/>
        <v>0</v>
      </c>
      <c r="D57" s="99">
        <f t="shared" ref="D57" si="13">D53-D56</f>
        <v>0</v>
      </c>
      <c r="E57" s="99">
        <f t="shared" ref="E57:N57" si="14">E53-E56</f>
        <v>0</v>
      </c>
      <c r="F57" s="99">
        <f t="shared" ref="F57" si="15">F53-F56</f>
        <v>0</v>
      </c>
      <c r="G57" s="859"/>
      <c r="H57" s="99">
        <f t="shared" si="14"/>
        <v>0</v>
      </c>
      <c r="I57" s="99">
        <f t="shared" si="14"/>
        <v>0</v>
      </c>
      <c r="J57" s="99">
        <f t="shared" si="14"/>
        <v>0</v>
      </c>
      <c r="K57" s="859"/>
      <c r="L57" s="99">
        <f t="shared" si="14"/>
        <v>0</v>
      </c>
      <c r="M57" s="99">
        <f t="shared" si="14"/>
        <v>0</v>
      </c>
      <c r="N57" s="99">
        <f t="shared" si="14"/>
        <v>0</v>
      </c>
    </row>
    <row r="58" spans="1:17" ht="15.75" x14ac:dyDescent="0.2">
      <c r="C58" s="45"/>
      <c r="D58" s="47"/>
      <c r="G58" s="45"/>
    </row>
    <row r="59" spans="1:17" ht="15.75" x14ac:dyDescent="0.2">
      <c r="C59" s="45"/>
      <c r="D59" s="48"/>
      <c r="G59" s="45"/>
    </row>
    <row r="60" spans="1:17" ht="15.75" x14ac:dyDescent="0.2">
      <c r="C60" s="45"/>
      <c r="D60" s="48"/>
      <c r="G60" s="45"/>
    </row>
    <row r="61" spans="1:17" ht="15.75" x14ac:dyDescent="0.2">
      <c r="C61" s="45"/>
      <c r="D61" s="47"/>
      <c r="G61" s="45"/>
    </row>
    <row r="62" spans="1:17" ht="15.75" x14ac:dyDescent="0.2">
      <c r="C62" s="45"/>
      <c r="D62" s="47"/>
      <c r="G62" s="45"/>
    </row>
    <row r="63" spans="1:17" ht="15.75" x14ac:dyDescent="0.2">
      <c r="C63" s="45"/>
      <c r="D63" s="49"/>
      <c r="G63" s="45"/>
    </row>
    <row r="64" spans="1:17" x14ac:dyDescent="0.2">
      <c r="C64" s="45"/>
      <c r="D64" s="45"/>
      <c r="G64" s="45"/>
    </row>
  </sheetData>
  <phoneticPr fontId="3" type="noConversion"/>
  <pageMargins left="0.15748031496062992" right="0.15748031496062992" top="0.27559055118110237" bottom="0.74803149606299213" header="0.31496062992125984" footer="0.31496062992125984"/>
  <pageSetup paperSize="9" scale="75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topLeftCell="A13" zoomScaleNormal="100" zoomScaleSheetLayoutView="100" workbookViewId="0">
      <selection activeCell="E17" sqref="E17"/>
    </sheetView>
  </sheetViews>
  <sheetFormatPr defaultRowHeight="12.75" x14ac:dyDescent="0.2"/>
  <cols>
    <col min="1" max="1" width="1.28515625" customWidth="1"/>
    <col min="2" max="2" width="4.7109375" customWidth="1"/>
    <col min="3" max="3" width="42.42578125" customWidth="1"/>
    <col min="4" max="4" width="18.85546875" customWidth="1"/>
    <col min="5" max="5" width="18.28515625" customWidth="1"/>
    <col min="6" max="6" width="17.140625" customWidth="1"/>
    <col min="7" max="7" width="7.140625" customWidth="1"/>
    <col min="8" max="8" width="7" customWidth="1"/>
    <col min="10" max="10" width="12.42578125" customWidth="1"/>
    <col min="257" max="257" width="1.28515625" customWidth="1"/>
    <col min="258" max="258" width="4.7109375" customWidth="1"/>
    <col min="259" max="259" width="42.42578125" customWidth="1"/>
    <col min="260" max="260" width="18.85546875" customWidth="1"/>
    <col min="261" max="261" width="18.28515625" customWidth="1"/>
    <col min="262" max="262" width="17.140625" customWidth="1"/>
    <col min="263" max="263" width="7.140625" customWidth="1"/>
    <col min="264" max="264" width="7" customWidth="1"/>
    <col min="266" max="266" width="12.42578125" customWidth="1"/>
    <col min="513" max="513" width="1.28515625" customWidth="1"/>
    <col min="514" max="514" width="4.7109375" customWidth="1"/>
    <col min="515" max="515" width="42.42578125" customWidth="1"/>
    <col min="516" max="516" width="18.85546875" customWidth="1"/>
    <col min="517" max="517" width="18.28515625" customWidth="1"/>
    <col min="518" max="518" width="17.140625" customWidth="1"/>
    <col min="519" max="519" width="7.140625" customWidth="1"/>
    <col min="520" max="520" width="7" customWidth="1"/>
    <col min="522" max="522" width="12.42578125" customWidth="1"/>
    <col min="769" max="769" width="1.28515625" customWidth="1"/>
    <col min="770" max="770" width="4.7109375" customWidth="1"/>
    <col min="771" max="771" width="42.42578125" customWidth="1"/>
    <col min="772" max="772" width="18.85546875" customWidth="1"/>
    <col min="773" max="773" width="18.28515625" customWidth="1"/>
    <col min="774" max="774" width="17.140625" customWidth="1"/>
    <col min="775" max="775" width="7.140625" customWidth="1"/>
    <col min="776" max="776" width="7" customWidth="1"/>
    <col min="778" max="778" width="12.42578125" customWidth="1"/>
    <col min="1025" max="1025" width="1.28515625" customWidth="1"/>
    <col min="1026" max="1026" width="4.7109375" customWidth="1"/>
    <col min="1027" max="1027" width="42.42578125" customWidth="1"/>
    <col min="1028" max="1028" width="18.85546875" customWidth="1"/>
    <col min="1029" max="1029" width="18.28515625" customWidth="1"/>
    <col min="1030" max="1030" width="17.140625" customWidth="1"/>
    <col min="1031" max="1031" width="7.140625" customWidth="1"/>
    <col min="1032" max="1032" width="7" customWidth="1"/>
    <col min="1034" max="1034" width="12.42578125" customWidth="1"/>
    <col min="1281" max="1281" width="1.28515625" customWidth="1"/>
    <col min="1282" max="1282" width="4.7109375" customWidth="1"/>
    <col min="1283" max="1283" width="42.42578125" customWidth="1"/>
    <col min="1284" max="1284" width="18.85546875" customWidth="1"/>
    <col min="1285" max="1285" width="18.28515625" customWidth="1"/>
    <col min="1286" max="1286" width="17.140625" customWidth="1"/>
    <col min="1287" max="1287" width="7.140625" customWidth="1"/>
    <col min="1288" max="1288" width="7" customWidth="1"/>
    <col min="1290" max="1290" width="12.42578125" customWidth="1"/>
    <col min="1537" max="1537" width="1.28515625" customWidth="1"/>
    <col min="1538" max="1538" width="4.7109375" customWidth="1"/>
    <col min="1539" max="1539" width="42.42578125" customWidth="1"/>
    <col min="1540" max="1540" width="18.85546875" customWidth="1"/>
    <col min="1541" max="1541" width="18.28515625" customWidth="1"/>
    <col min="1542" max="1542" width="17.140625" customWidth="1"/>
    <col min="1543" max="1543" width="7.140625" customWidth="1"/>
    <col min="1544" max="1544" width="7" customWidth="1"/>
    <col min="1546" max="1546" width="12.42578125" customWidth="1"/>
    <col min="1793" max="1793" width="1.28515625" customWidth="1"/>
    <col min="1794" max="1794" width="4.7109375" customWidth="1"/>
    <col min="1795" max="1795" width="42.42578125" customWidth="1"/>
    <col min="1796" max="1796" width="18.85546875" customWidth="1"/>
    <col min="1797" max="1797" width="18.28515625" customWidth="1"/>
    <col min="1798" max="1798" width="17.140625" customWidth="1"/>
    <col min="1799" max="1799" width="7.140625" customWidth="1"/>
    <col min="1800" max="1800" width="7" customWidth="1"/>
    <col min="1802" max="1802" width="12.42578125" customWidth="1"/>
    <col min="2049" max="2049" width="1.28515625" customWidth="1"/>
    <col min="2050" max="2050" width="4.7109375" customWidth="1"/>
    <col min="2051" max="2051" width="42.42578125" customWidth="1"/>
    <col min="2052" max="2052" width="18.85546875" customWidth="1"/>
    <col min="2053" max="2053" width="18.28515625" customWidth="1"/>
    <col min="2054" max="2054" width="17.140625" customWidth="1"/>
    <col min="2055" max="2055" width="7.140625" customWidth="1"/>
    <col min="2056" max="2056" width="7" customWidth="1"/>
    <col min="2058" max="2058" width="12.42578125" customWidth="1"/>
    <col min="2305" max="2305" width="1.28515625" customWidth="1"/>
    <col min="2306" max="2306" width="4.7109375" customWidth="1"/>
    <col min="2307" max="2307" width="42.42578125" customWidth="1"/>
    <col min="2308" max="2308" width="18.85546875" customWidth="1"/>
    <col min="2309" max="2309" width="18.28515625" customWidth="1"/>
    <col min="2310" max="2310" width="17.140625" customWidth="1"/>
    <col min="2311" max="2311" width="7.140625" customWidth="1"/>
    <col min="2312" max="2312" width="7" customWidth="1"/>
    <col min="2314" max="2314" width="12.42578125" customWidth="1"/>
    <col min="2561" max="2561" width="1.28515625" customWidth="1"/>
    <col min="2562" max="2562" width="4.7109375" customWidth="1"/>
    <col min="2563" max="2563" width="42.42578125" customWidth="1"/>
    <col min="2564" max="2564" width="18.85546875" customWidth="1"/>
    <col min="2565" max="2565" width="18.28515625" customWidth="1"/>
    <col min="2566" max="2566" width="17.140625" customWidth="1"/>
    <col min="2567" max="2567" width="7.140625" customWidth="1"/>
    <col min="2568" max="2568" width="7" customWidth="1"/>
    <col min="2570" max="2570" width="12.42578125" customWidth="1"/>
    <col min="2817" max="2817" width="1.28515625" customWidth="1"/>
    <col min="2818" max="2818" width="4.7109375" customWidth="1"/>
    <col min="2819" max="2819" width="42.42578125" customWidth="1"/>
    <col min="2820" max="2820" width="18.85546875" customWidth="1"/>
    <col min="2821" max="2821" width="18.28515625" customWidth="1"/>
    <col min="2822" max="2822" width="17.140625" customWidth="1"/>
    <col min="2823" max="2823" width="7.140625" customWidth="1"/>
    <col min="2824" max="2824" width="7" customWidth="1"/>
    <col min="2826" max="2826" width="12.42578125" customWidth="1"/>
    <col min="3073" max="3073" width="1.28515625" customWidth="1"/>
    <col min="3074" max="3074" width="4.7109375" customWidth="1"/>
    <col min="3075" max="3075" width="42.42578125" customWidth="1"/>
    <col min="3076" max="3076" width="18.85546875" customWidth="1"/>
    <col min="3077" max="3077" width="18.28515625" customWidth="1"/>
    <col min="3078" max="3078" width="17.140625" customWidth="1"/>
    <col min="3079" max="3079" width="7.140625" customWidth="1"/>
    <col min="3080" max="3080" width="7" customWidth="1"/>
    <col min="3082" max="3082" width="12.42578125" customWidth="1"/>
    <col min="3329" max="3329" width="1.28515625" customWidth="1"/>
    <col min="3330" max="3330" width="4.7109375" customWidth="1"/>
    <col min="3331" max="3331" width="42.42578125" customWidth="1"/>
    <col min="3332" max="3332" width="18.85546875" customWidth="1"/>
    <col min="3333" max="3333" width="18.28515625" customWidth="1"/>
    <col min="3334" max="3334" width="17.140625" customWidth="1"/>
    <col min="3335" max="3335" width="7.140625" customWidth="1"/>
    <col min="3336" max="3336" width="7" customWidth="1"/>
    <col min="3338" max="3338" width="12.42578125" customWidth="1"/>
    <col min="3585" max="3585" width="1.28515625" customWidth="1"/>
    <col min="3586" max="3586" width="4.7109375" customWidth="1"/>
    <col min="3587" max="3587" width="42.42578125" customWidth="1"/>
    <col min="3588" max="3588" width="18.85546875" customWidth="1"/>
    <col min="3589" max="3589" width="18.28515625" customWidth="1"/>
    <col min="3590" max="3590" width="17.140625" customWidth="1"/>
    <col min="3591" max="3591" width="7.140625" customWidth="1"/>
    <col min="3592" max="3592" width="7" customWidth="1"/>
    <col min="3594" max="3594" width="12.42578125" customWidth="1"/>
    <col min="3841" max="3841" width="1.28515625" customWidth="1"/>
    <col min="3842" max="3842" width="4.7109375" customWidth="1"/>
    <col min="3843" max="3843" width="42.42578125" customWidth="1"/>
    <col min="3844" max="3844" width="18.85546875" customWidth="1"/>
    <col min="3845" max="3845" width="18.28515625" customWidth="1"/>
    <col min="3846" max="3846" width="17.140625" customWidth="1"/>
    <col min="3847" max="3847" width="7.140625" customWidth="1"/>
    <col min="3848" max="3848" width="7" customWidth="1"/>
    <col min="3850" max="3850" width="12.42578125" customWidth="1"/>
    <col min="4097" max="4097" width="1.28515625" customWidth="1"/>
    <col min="4098" max="4098" width="4.7109375" customWidth="1"/>
    <col min="4099" max="4099" width="42.42578125" customWidth="1"/>
    <col min="4100" max="4100" width="18.85546875" customWidth="1"/>
    <col min="4101" max="4101" width="18.28515625" customWidth="1"/>
    <col min="4102" max="4102" width="17.140625" customWidth="1"/>
    <col min="4103" max="4103" width="7.140625" customWidth="1"/>
    <col min="4104" max="4104" width="7" customWidth="1"/>
    <col min="4106" max="4106" width="12.42578125" customWidth="1"/>
    <col min="4353" max="4353" width="1.28515625" customWidth="1"/>
    <col min="4354" max="4354" width="4.7109375" customWidth="1"/>
    <col min="4355" max="4355" width="42.42578125" customWidth="1"/>
    <col min="4356" max="4356" width="18.85546875" customWidth="1"/>
    <col min="4357" max="4357" width="18.28515625" customWidth="1"/>
    <col min="4358" max="4358" width="17.140625" customWidth="1"/>
    <col min="4359" max="4359" width="7.140625" customWidth="1"/>
    <col min="4360" max="4360" width="7" customWidth="1"/>
    <col min="4362" max="4362" width="12.42578125" customWidth="1"/>
    <col min="4609" max="4609" width="1.28515625" customWidth="1"/>
    <col min="4610" max="4610" width="4.7109375" customWidth="1"/>
    <col min="4611" max="4611" width="42.42578125" customWidth="1"/>
    <col min="4612" max="4612" width="18.85546875" customWidth="1"/>
    <col min="4613" max="4613" width="18.28515625" customWidth="1"/>
    <col min="4614" max="4614" width="17.140625" customWidth="1"/>
    <col min="4615" max="4615" width="7.140625" customWidth="1"/>
    <col min="4616" max="4616" width="7" customWidth="1"/>
    <col min="4618" max="4618" width="12.42578125" customWidth="1"/>
    <col min="4865" max="4865" width="1.28515625" customWidth="1"/>
    <col min="4866" max="4866" width="4.7109375" customWidth="1"/>
    <col min="4867" max="4867" width="42.42578125" customWidth="1"/>
    <col min="4868" max="4868" width="18.85546875" customWidth="1"/>
    <col min="4869" max="4869" width="18.28515625" customWidth="1"/>
    <col min="4870" max="4870" width="17.140625" customWidth="1"/>
    <col min="4871" max="4871" width="7.140625" customWidth="1"/>
    <col min="4872" max="4872" width="7" customWidth="1"/>
    <col min="4874" max="4874" width="12.42578125" customWidth="1"/>
    <col min="5121" max="5121" width="1.28515625" customWidth="1"/>
    <col min="5122" max="5122" width="4.7109375" customWidth="1"/>
    <col min="5123" max="5123" width="42.42578125" customWidth="1"/>
    <col min="5124" max="5124" width="18.85546875" customWidth="1"/>
    <col min="5125" max="5125" width="18.28515625" customWidth="1"/>
    <col min="5126" max="5126" width="17.140625" customWidth="1"/>
    <col min="5127" max="5127" width="7.140625" customWidth="1"/>
    <col min="5128" max="5128" width="7" customWidth="1"/>
    <col min="5130" max="5130" width="12.42578125" customWidth="1"/>
    <col min="5377" max="5377" width="1.28515625" customWidth="1"/>
    <col min="5378" max="5378" width="4.7109375" customWidth="1"/>
    <col min="5379" max="5379" width="42.42578125" customWidth="1"/>
    <col min="5380" max="5380" width="18.85546875" customWidth="1"/>
    <col min="5381" max="5381" width="18.28515625" customWidth="1"/>
    <col min="5382" max="5382" width="17.140625" customWidth="1"/>
    <col min="5383" max="5383" width="7.140625" customWidth="1"/>
    <col min="5384" max="5384" width="7" customWidth="1"/>
    <col min="5386" max="5386" width="12.42578125" customWidth="1"/>
    <col min="5633" max="5633" width="1.28515625" customWidth="1"/>
    <col min="5634" max="5634" width="4.7109375" customWidth="1"/>
    <col min="5635" max="5635" width="42.42578125" customWidth="1"/>
    <col min="5636" max="5636" width="18.85546875" customWidth="1"/>
    <col min="5637" max="5637" width="18.28515625" customWidth="1"/>
    <col min="5638" max="5638" width="17.140625" customWidth="1"/>
    <col min="5639" max="5639" width="7.140625" customWidth="1"/>
    <col min="5640" max="5640" width="7" customWidth="1"/>
    <col min="5642" max="5642" width="12.42578125" customWidth="1"/>
    <col min="5889" max="5889" width="1.28515625" customWidth="1"/>
    <col min="5890" max="5890" width="4.7109375" customWidth="1"/>
    <col min="5891" max="5891" width="42.42578125" customWidth="1"/>
    <col min="5892" max="5892" width="18.85546875" customWidth="1"/>
    <col min="5893" max="5893" width="18.28515625" customWidth="1"/>
    <col min="5894" max="5894" width="17.140625" customWidth="1"/>
    <col min="5895" max="5895" width="7.140625" customWidth="1"/>
    <col min="5896" max="5896" width="7" customWidth="1"/>
    <col min="5898" max="5898" width="12.42578125" customWidth="1"/>
    <col min="6145" max="6145" width="1.28515625" customWidth="1"/>
    <col min="6146" max="6146" width="4.7109375" customWidth="1"/>
    <col min="6147" max="6147" width="42.42578125" customWidth="1"/>
    <col min="6148" max="6148" width="18.85546875" customWidth="1"/>
    <col min="6149" max="6149" width="18.28515625" customWidth="1"/>
    <col min="6150" max="6150" width="17.140625" customWidth="1"/>
    <col min="6151" max="6151" width="7.140625" customWidth="1"/>
    <col min="6152" max="6152" width="7" customWidth="1"/>
    <col min="6154" max="6154" width="12.42578125" customWidth="1"/>
    <col min="6401" max="6401" width="1.28515625" customWidth="1"/>
    <col min="6402" max="6402" width="4.7109375" customWidth="1"/>
    <col min="6403" max="6403" width="42.42578125" customWidth="1"/>
    <col min="6404" max="6404" width="18.85546875" customWidth="1"/>
    <col min="6405" max="6405" width="18.28515625" customWidth="1"/>
    <col min="6406" max="6406" width="17.140625" customWidth="1"/>
    <col min="6407" max="6407" width="7.140625" customWidth="1"/>
    <col min="6408" max="6408" width="7" customWidth="1"/>
    <col min="6410" max="6410" width="12.42578125" customWidth="1"/>
    <col min="6657" max="6657" width="1.28515625" customWidth="1"/>
    <col min="6658" max="6658" width="4.7109375" customWidth="1"/>
    <col min="6659" max="6659" width="42.42578125" customWidth="1"/>
    <col min="6660" max="6660" width="18.85546875" customWidth="1"/>
    <col min="6661" max="6661" width="18.28515625" customWidth="1"/>
    <col min="6662" max="6662" width="17.140625" customWidth="1"/>
    <col min="6663" max="6663" width="7.140625" customWidth="1"/>
    <col min="6664" max="6664" width="7" customWidth="1"/>
    <col min="6666" max="6666" width="12.42578125" customWidth="1"/>
    <col min="6913" max="6913" width="1.28515625" customWidth="1"/>
    <col min="6914" max="6914" width="4.7109375" customWidth="1"/>
    <col min="6915" max="6915" width="42.42578125" customWidth="1"/>
    <col min="6916" max="6916" width="18.85546875" customWidth="1"/>
    <col min="6917" max="6917" width="18.28515625" customWidth="1"/>
    <col min="6918" max="6918" width="17.140625" customWidth="1"/>
    <col min="6919" max="6919" width="7.140625" customWidth="1"/>
    <col min="6920" max="6920" width="7" customWidth="1"/>
    <col min="6922" max="6922" width="12.42578125" customWidth="1"/>
    <col min="7169" max="7169" width="1.28515625" customWidth="1"/>
    <col min="7170" max="7170" width="4.7109375" customWidth="1"/>
    <col min="7171" max="7171" width="42.42578125" customWidth="1"/>
    <col min="7172" max="7172" width="18.85546875" customWidth="1"/>
    <col min="7173" max="7173" width="18.28515625" customWidth="1"/>
    <col min="7174" max="7174" width="17.140625" customWidth="1"/>
    <col min="7175" max="7175" width="7.140625" customWidth="1"/>
    <col min="7176" max="7176" width="7" customWidth="1"/>
    <col min="7178" max="7178" width="12.42578125" customWidth="1"/>
    <col min="7425" max="7425" width="1.28515625" customWidth="1"/>
    <col min="7426" max="7426" width="4.7109375" customWidth="1"/>
    <col min="7427" max="7427" width="42.42578125" customWidth="1"/>
    <col min="7428" max="7428" width="18.85546875" customWidth="1"/>
    <col min="7429" max="7429" width="18.28515625" customWidth="1"/>
    <col min="7430" max="7430" width="17.140625" customWidth="1"/>
    <col min="7431" max="7431" width="7.140625" customWidth="1"/>
    <col min="7432" max="7432" width="7" customWidth="1"/>
    <col min="7434" max="7434" width="12.42578125" customWidth="1"/>
    <col min="7681" max="7681" width="1.28515625" customWidth="1"/>
    <col min="7682" max="7682" width="4.7109375" customWidth="1"/>
    <col min="7683" max="7683" width="42.42578125" customWidth="1"/>
    <col min="7684" max="7684" width="18.85546875" customWidth="1"/>
    <col min="7685" max="7685" width="18.28515625" customWidth="1"/>
    <col min="7686" max="7686" width="17.140625" customWidth="1"/>
    <col min="7687" max="7687" width="7.140625" customWidth="1"/>
    <col min="7688" max="7688" width="7" customWidth="1"/>
    <col min="7690" max="7690" width="12.42578125" customWidth="1"/>
    <col min="7937" max="7937" width="1.28515625" customWidth="1"/>
    <col min="7938" max="7938" width="4.7109375" customWidth="1"/>
    <col min="7939" max="7939" width="42.42578125" customWidth="1"/>
    <col min="7940" max="7940" width="18.85546875" customWidth="1"/>
    <col min="7941" max="7941" width="18.28515625" customWidth="1"/>
    <col min="7942" max="7942" width="17.140625" customWidth="1"/>
    <col min="7943" max="7943" width="7.140625" customWidth="1"/>
    <col min="7944" max="7944" width="7" customWidth="1"/>
    <col min="7946" max="7946" width="12.42578125" customWidth="1"/>
    <col min="8193" max="8193" width="1.28515625" customWidth="1"/>
    <col min="8194" max="8194" width="4.7109375" customWidth="1"/>
    <col min="8195" max="8195" width="42.42578125" customWidth="1"/>
    <col min="8196" max="8196" width="18.85546875" customWidth="1"/>
    <col min="8197" max="8197" width="18.28515625" customWidth="1"/>
    <col min="8198" max="8198" width="17.140625" customWidth="1"/>
    <col min="8199" max="8199" width="7.140625" customWidth="1"/>
    <col min="8200" max="8200" width="7" customWidth="1"/>
    <col min="8202" max="8202" width="12.42578125" customWidth="1"/>
    <col min="8449" max="8449" width="1.28515625" customWidth="1"/>
    <col min="8450" max="8450" width="4.7109375" customWidth="1"/>
    <col min="8451" max="8451" width="42.42578125" customWidth="1"/>
    <col min="8452" max="8452" width="18.85546875" customWidth="1"/>
    <col min="8453" max="8453" width="18.28515625" customWidth="1"/>
    <col min="8454" max="8454" width="17.140625" customWidth="1"/>
    <col min="8455" max="8455" width="7.140625" customWidth="1"/>
    <col min="8456" max="8456" width="7" customWidth="1"/>
    <col min="8458" max="8458" width="12.42578125" customWidth="1"/>
    <col min="8705" max="8705" width="1.28515625" customWidth="1"/>
    <col min="8706" max="8706" width="4.7109375" customWidth="1"/>
    <col min="8707" max="8707" width="42.42578125" customWidth="1"/>
    <col min="8708" max="8708" width="18.85546875" customWidth="1"/>
    <col min="8709" max="8709" width="18.28515625" customWidth="1"/>
    <col min="8710" max="8710" width="17.140625" customWidth="1"/>
    <col min="8711" max="8711" width="7.140625" customWidth="1"/>
    <col min="8712" max="8712" width="7" customWidth="1"/>
    <col min="8714" max="8714" width="12.42578125" customWidth="1"/>
    <col min="8961" max="8961" width="1.28515625" customWidth="1"/>
    <col min="8962" max="8962" width="4.7109375" customWidth="1"/>
    <col min="8963" max="8963" width="42.42578125" customWidth="1"/>
    <col min="8964" max="8964" width="18.85546875" customWidth="1"/>
    <col min="8965" max="8965" width="18.28515625" customWidth="1"/>
    <col min="8966" max="8966" width="17.140625" customWidth="1"/>
    <col min="8967" max="8967" width="7.140625" customWidth="1"/>
    <col min="8968" max="8968" width="7" customWidth="1"/>
    <col min="8970" max="8970" width="12.42578125" customWidth="1"/>
    <col min="9217" max="9217" width="1.28515625" customWidth="1"/>
    <col min="9218" max="9218" width="4.7109375" customWidth="1"/>
    <col min="9219" max="9219" width="42.42578125" customWidth="1"/>
    <col min="9220" max="9220" width="18.85546875" customWidth="1"/>
    <col min="9221" max="9221" width="18.28515625" customWidth="1"/>
    <col min="9222" max="9222" width="17.140625" customWidth="1"/>
    <col min="9223" max="9223" width="7.140625" customWidth="1"/>
    <col min="9224" max="9224" width="7" customWidth="1"/>
    <col min="9226" max="9226" width="12.42578125" customWidth="1"/>
    <col min="9473" max="9473" width="1.28515625" customWidth="1"/>
    <col min="9474" max="9474" width="4.7109375" customWidth="1"/>
    <col min="9475" max="9475" width="42.42578125" customWidth="1"/>
    <col min="9476" max="9476" width="18.85546875" customWidth="1"/>
    <col min="9477" max="9477" width="18.28515625" customWidth="1"/>
    <col min="9478" max="9478" width="17.140625" customWidth="1"/>
    <col min="9479" max="9479" width="7.140625" customWidth="1"/>
    <col min="9480" max="9480" width="7" customWidth="1"/>
    <col min="9482" max="9482" width="12.42578125" customWidth="1"/>
    <col min="9729" max="9729" width="1.28515625" customWidth="1"/>
    <col min="9730" max="9730" width="4.7109375" customWidth="1"/>
    <col min="9731" max="9731" width="42.42578125" customWidth="1"/>
    <col min="9732" max="9732" width="18.85546875" customWidth="1"/>
    <col min="9733" max="9733" width="18.28515625" customWidth="1"/>
    <col min="9734" max="9734" width="17.140625" customWidth="1"/>
    <col min="9735" max="9735" width="7.140625" customWidth="1"/>
    <col min="9736" max="9736" width="7" customWidth="1"/>
    <col min="9738" max="9738" width="12.42578125" customWidth="1"/>
    <col min="9985" max="9985" width="1.28515625" customWidth="1"/>
    <col min="9986" max="9986" width="4.7109375" customWidth="1"/>
    <col min="9987" max="9987" width="42.42578125" customWidth="1"/>
    <col min="9988" max="9988" width="18.85546875" customWidth="1"/>
    <col min="9989" max="9989" width="18.28515625" customWidth="1"/>
    <col min="9990" max="9990" width="17.140625" customWidth="1"/>
    <col min="9991" max="9991" width="7.140625" customWidth="1"/>
    <col min="9992" max="9992" width="7" customWidth="1"/>
    <col min="9994" max="9994" width="12.42578125" customWidth="1"/>
    <col min="10241" max="10241" width="1.28515625" customWidth="1"/>
    <col min="10242" max="10242" width="4.7109375" customWidth="1"/>
    <col min="10243" max="10243" width="42.42578125" customWidth="1"/>
    <col min="10244" max="10244" width="18.85546875" customWidth="1"/>
    <col min="10245" max="10245" width="18.28515625" customWidth="1"/>
    <col min="10246" max="10246" width="17.140625" customWidth="1"/>
    <col min="10247" max="10247" width="7.140625" customWidth="1"/>
    <col min="10248" max="10248" width="7" customWidth="1"/>
    <col min="10250" max="10250" width="12.42578125" customWidth="1"/>
    <col min="10497" max="10497" width="1.28515625" customWidth="1"/>
    <col min="10498" max="10498" width="4.7109375" customWidth="1"/>
    <col min="10499" max="10499" width="42.42578125" customWidth="1"/>
    <col min="10500" max="10500" width="18.85546875" customWidth="1"/>
    <col min="10501" max="10501" width="18.28515625" customWidth="1"/>
    <col min="10502" max="10502" width="17.140625" customWidth="1"/>
    <col min="10503" max="10503" width="7.140625" customWidth="1"/>
    <col min="10504" max="10504" width="7" customWidth="1"/>
    <col min="10506" max="10506" width="12.42578125" customWidth="1"/>
    <col min="10753" max="10753" width="1.28515625" customWidth="1"/>
    <col min="10754" max="10754" width="4.7109375" customWidth="1"/>
    <col min="10755" max="10755" width="42.42578125" customWidth="1"/>
    <col min="10756" max="10756" width="18.85546875" customWidth="1"/>
    <col min="10757" max="10757" width="18.28515625" customWidth="1"/>
    <col min="10758" max="10758" width="17.140625" customWidth="1"/>
    <col min="10759" max="10759" width="7.140625" customWidth="1"/>
    <col min="10760" max="10760" width="7" customWidth="1"/>
    <col min="10762" max="10762" width="12.42578125" customWidth="1"/>
    <col min="11009" max="11009" width="1.28515625" customWidth="1"/>
    <col min="11010" max="11010" width="4.7109375" customWidth="1"/>
    <col min="11011" max="11011" width="42.42578125" customWidth="1"/>
    <col min="11012" max="11012" width="18.85546875" customWidth="1"/>
    <col min="11013" max="11013" width="18.28515625" customWidth="1"/>
    <col min="11014" max="11014" width="17.140625" customWidth="1"/>
    <col min="11015" max="11015" width="7.140625" customWidth="1"/>
    <col min="11016" max="11016" width="7" customWidth="1"/>
    <col min="11018" max="11018" width="12.42578125" customWidth="1"/>
    <col min="11265" max="11265" width="1.28515625" customWidth="1"/>
    <col min="11266" max="11266" width="4.7109375" customWidth="1"/>
    <col min="11267" max="11267" width="42.42578125" customWidth="1"/>
    <col min="11268" max="11268" width="18.85546875" customWidth="1"/>
    <col min="11269" max="11269" width="18.28515625" customWidth="1"/>
    <col min="11270" max="11270" width="17.140625" customWidth="1"/>
    <col min="11271" max="11271" width="7.140625" customWidth="1"/>
    <col min="11272" max="11272" width="7" customWidth="1"/>
    <col min="11274" max="11274" width="12.42578125" customWidth="1"/>
    <col min="11521" max="11521" width="1.28515625" customWidth="1"/>
    <col min="11522" max="11522" width="4.7109375" customWidth="1"/>
    <col min="11523" max="11523" width="42.42578125" customWidth="1"/>
    <col min="11524" max="11524" width="18.85546875" customWidth="1"/>
    <col min="11525" max="11525" width="18.28515625" customWidth="1"/>
    <col min="11526" max="11526" width="17.140625" customWidth="1"/>
    <col min="11527" max="11527" width="7.140625" customWidth="1"/>
    <col min="11528" max="11528" width="7" customWidth="1"/>
    <col min="11530" max="11530" width="12.42578125" customWidth="1"/>
    <col min="11777" max="11777" width="1.28515625" customWidth="1"/>
    <col min="11778" max="11778" width="4.7109375" customWidth="1"/>
    <col min="11779" max="11779" width="42.42578125" customWidth="1"/>
    <col min="11780" max="11780" width="18.85546875" customWidth="1"/>
    <col min="11781" max="11781" width="18.28515625" customWidth="1"/>
    <col min="11782" max="11782" width="17.140625" customWidth="1"/>
    <col min="11783" max="11783" width="7.140625" customWidth="1"/>
    <col min="11784" max="11784" width="7" customWidth="1"/>
    <col min="11786" max="11786" width="12.42578125" customWidth="1"/>
    <col min="12033" max="12033" width="1.28515625" customWidth="1"/>
    <col min="12034" max="12034" width="4.7109375" customWidth="1"/>
    <col min="12035" max="12035" width="42.42578125" customWidth="1"/>
    <col min="12036" max="12036" width="18.85546875" customWidth="1"/>
    <col min="12037" max="12037" width="18.28515625" customWidth="1"/>
    <col min="12038" max="12038" width="17.140625" customWidth="1"/>
    <col min="12039" max="12039" width="7.140625" customWidth="1"/>
    <col min="12040" max="12040" width="7" customWidth="1"/>
    <col min="12042" max="12042" width="12.42578125" customWidth="1"/>
    <col min="12289" max="12289" width="1.28515625" customWidth="1"/>
    <col min="12290" max="12290" width="4.7109375" customWidth="1"/>
    <col min="12291" max="12291" width="42.42578125" customWidth="1"/>
    <col min="12292" max="12292" width="18.85546875" customWidth="1"/>
    <col min="12293" max="12293" width="18.28515625" customWidth="1"/>
    <col min="12294" max="12294" width="17.140625" customWidth="1"/>
    <col min="12295" max="12295" width="7.140625" customWidth="1"/>
    <col min="12296" max="12296" width="7" customWidth="1"/>
    <col min="12298" max="12298" width="12.42578125" customWidth="1"/>
    <col min="12545" max="12545" width="1.28515625" customWidth="1"/>
    <col min="12546" max="12546" width="4.7109375" customWidth="1"/>
    <col min="12547" max="12547" width="42.42578125" customWidth="1"/>
    <col min="12548" max="12548" width="18.85546875" customWidth="1"/>
    <col min="12549" max="12549" width="18.28515625" customWidth="1"/>
    <col min="12550" max="12550" width="17.140625" customWidth="1"/>
    <col min="12551" max="12551" width="7.140625" customWidth="1"/>
    <col min="12552" max="12552" width="7" customWidth="1"/>
    <col min="12554" max="12554" width="12.42578125" customWidth="1"/>
    <col min="12801" max="12801" width="1.28515625" customWidth="1"/>
    <col min="12802" max="12802" width="4.7109375" customWidth="1"/>
    <col min="12803" max="12803" width="42.42578125" customWidth="1"/>
    <col min="12804" max="12804" width="18.85546875" customWidth="1"/>
    <col min="12805" max="12805" width="18.28515625" customWidth="1"/>
    <col min="12806" max="12806" width="17.140625" customWidth="1"/>
    <col min="12807" max="12807" width="7.140625" customWidth="1"/>
    <col min="12808" max="12808" width="7" customWidth="1"/>
    <col min="12810" max="12810" width="12.42578125" customWidth="1"/>
    <col min="13057" max="13057" width="1.28515625" customWidth="1"/>
    <col min="13058" max="13058" width="4.7109375" customWidth="1"/>
    <col min="13059" max="13059" width="42.42578125" customWidth="1"/>
    <col min="13060" max="13060" width="18.85546875" customWidth="1"/>
    <col min="13061" max="13061" width="18.28515625" customWidth="1"/>
    <col min="13062" max="13062" width="17.140625" customWidth="1"/>
    <col min="13063" max="13063" width="7.140625" customWidth="1"/>
    <col min="13064" max="13064" width="7" customWidth="1"/>
    <col min="13066" max="13066" width="12.42578125" customWidth="1"/>
    <col min="13313" max="13313" width="1.28515625" customWidth="1"/>
    <col min="13314" max="13314" width="4.7109375" customWidth="1"/>
    <col min="13315" max="13315" width="42.42578125" customWidth="1"/>
    <col min="13316" max="13316" width="18.85546875" customWidth="1"/>
    <col min="13317" max="13317" width="18.28515625" customWidth="1"/>
    <col min="13318" max="13318" width="17.140625" customWidth="1"/>
    <col min="13319" max="13319" width="7.140625" customWidth="1"/>
    <col min="13320" max="13320" width="7" customWidth="1"/>
    <col min="13322" max="13322" width="12.42578125" customWidth="1"/>
    <col min="13569" max="13569" width="1.28515625" customWidth="1"/>
    <col min="13570" max="13570" width="4.7109375" customWidth="1"/>
    <col min="13571" max="13571" width="42.42578125" customWidth="1"/>
    <col min="13572" max="13572" width="18.85546875" customWidth="1"/>
    <col min="13573" max="13573" width="18.28515625" customWidth="1"/>
    <col min="13574" max="13574" width="17.140625" customWidth="1"/>
    <col min="13575" max="13575" width="7.140625" customWidth="1"/>
    <col min="13576" max="13576" width="7" customWidth="1"/>
    <col min="13578" max="13578" width="12.42578125" customWidth="1"/>
    <col min="13825" max="13825" width="1.28515625" customWidth="1"/>
    <col min="13826" max="13826" width="4.7109375" customWidth="1"/>
    <col min="13827" max="13827" width="42.42578125" customWidth="1"/>
    <col min="13828" max="13828" width="18.85546875" customWidth="1"/>
    <col min="13829" max="13829" width="18.28515625" customWidth="1"/>
    <col min="13830" max="13830" width="17.140625" customWidth="1"/>
    <col min="13831" max="13831" width="7.140625" customWidth="1"/>
    <col min="13832" max="13832" width="7" customWidth="1"/>
    <col min="13834" max="13834" width="12.42578125" customWidth="1"/>
    <col min="14081" max="14081" width="1.28515625" customWidth="1"/>
    <col min="14082" max="14082" width="4.7109375" customWidth="1"/>
    <col min="14083" max="14083" width="42.42578125" customWidth="1"/>
    <col min="14084" max="14084" width="18.85546875" customWidth="1"/>
    <col min="14085" max="14085" width="18.28515625" customWidth="1"/>
    <col min="14086" max="14086" width="17.140625" customWidth="1"/>
    <col min="14087" max="14087" width="7.140625" customWidth="1"/>
    <col min="14088" max="14088" width="7" customWidth="1"/>
    <col min="14090" max="14090" width="12.42578125" customWidth="1"/>
    <col min="14337" max="14337" width="1.28515625" customWidth="1"/>
    <col min="14338" max="14338" width="4.7109375" customWidth="1"/>
    <col min="14339" max="14339" width="42.42578125" customWidth="1"/>
    <col min="14340" max="14340" width="18.85546875" customWidth="1"/>
    <col min="14341" max="14341" width="18.28515625" customWidth="1"/>
    <col min="14342" max="14342" width="17.140625" customWidth="1"/>
    <col min="14343" max="14343" width="7.140625" customWidth="1"/>
    <col min="14344" max="14344" width="7" customWidth="1"/>
    <col min="14346" max="14346" width="12.42578125" customWidth="1"/>
    <col min="14593" max="14593" width="1.28515625" customWidth="1"/>
    <col min="14594" max="14594" width="4.7109375" customWidth="1"/>
    <col min="14595" max="14595" width="42.42578125" customWidth="1"/>
    <col min="14596" max="14596" width="18.85546875" customWidth="1"/>
    <col min="14597" max="14597" width="18.28515625" customWidth="1"/>
    <col min="14598" max="14598" width="17.140625" customWidth="1"/>
    <col min="14599" max="14599" width="7.140625" customWidth="1"/>
    <col min="14600" max="14600" width="7" customWidth="1"/>
    <col min="14602" max="14602" width="12.42578125" customWidth="1"/>
    <col min="14849" max="14849" width="1.28515625" customWidth="1"/>
    <col min="14850" max="14850" width="4.7109375" customWidth="1"/>
    <col min="14851" max="14851" width="42.42578125" customWidth="1"/>
    <col min="14852" max="14852" width="18.85546875" customWidth="1"/>
    <col min="14853" max="14853" width="18.28515625" customWidth="1"/>
    <col min="14854" max="14854" width="17.140625" customWidth="1"/>
    <col min="14855" max="14855" width="7.140625" customWidth="1"/>
    <col min="14856" max="14856" width="7" customWidth="1"/>
    <col min="14858" max="14858" width="12.42578125" customWidth="1"/>
    <col min="15105" max="15105" width="1.28515625" customWidth="1"/>
    <col min="15106" max="15106" width="4.7109375" customWidth="1"/>
    <col min="15107" max="15107" width="42.42578125" customWidth="1"/>
    <col min="15108" max="15108" width="18.85546875" customWidth="1"/>
    <col min="15109" max="15109" width="18.28515625" customWidth="1"/>
    <col min="15110" max="15110" width="17.140625" customWidth="1"/>
    <col min="15111" max="15111" width="7.140625" customWidth="1"/>
    <col min="15112" max="15112" width="7" customWidth="1"/>
    <col min="15114" max="15114" width="12.42578125" customWidth="1"/>
    <col min="15361" max="15361" width="1.28515625" customWidth="1"/>
    <col min="15362" max="15362" width="4.7109375" customWidth="1"/>
    <col min="15363" max="15363" width="42.42578125" customWidth="1"/>
    <col min="15364" max="15364" width="18.85546875" customWidth="1"/>
    <col min="15365" max="15365" width="18.28515625" customWidth="1"/>
    <col min="15366" max="15366" width="17.140625" customWidth="1"/>
    <col min="15367" max="15367" width="7.140625" customWidth="1"/>
    <col min="15368" max="15368" width="7" customWidth="1"/>
    <col min="15370" max="15370" width="12.42578125" customWidth="1"/>
    <col min="15617" max="15617" width="1.28515625" customWidth="1"/>
    <col min="15618" max="15618" width="4.7109375" customWidth="1"/>
    <col min="15619" max="15619" width="42.42578125" customWidth="1"/>
    <col min="15620" max="15620" width="18.85546875" customWidth="1"/>
    <col min="15621" max="15621" width="18.28515625" customWidth="1"/>
    <col min="15622" max="15622" width="17.140625" customWidth="1"/>
    <col min="15623" max="15623" width="7.140625" customWidth="1"/>
    <col min="15624" max="15624" width="7" customWidth="1"/>
    <col min="15626" max="15626" width="12.42578125" customWidth="1"/>
    <col min="15873" max="15873" width="1.28515625" customWidth="1"/>
    <col min="15874" max="15874" width="4.7109375" customWidth="1"/>
    <col min="15875" max="15875" width="42.42578125" customWidth="1"/>
    <col min="15876" max="15876" width="18.85546875" customWidth="1"/>
    <col min="15877" max="15877" width="18.28515625" customWidth="1"/>
    <col min="15878" max="15878" width="17.140625" customWidth="1"/>
    <col min="15879" max="15879" width="7.140625" customWidth="1"/>
    <col min="15880" max="15880" width="7" customWidth="1"/>
    <col min="15882" max="15882" width="12.42578125" customWidth="1"/>
    <col min="16129" max="16129" width="1.28515625" customWidth="1"/>
    <col min="16130" max="16130" width="4.7109375" customWidth="1"/>
    <col min="16131" max="16131" width="42.42578125" customWidth="1"/>
    <col min="16132" max="16132" width="18.85546875" customWidth="1"/>
    <col min="16133" max="16133" width="18.28515625" customWidth="1"/>
    <col min="16134" max="16134" width="17.140625" customWidth="1"/>
    <col min="16135" max="16135" width="7.140625" customWidth="1"/>
    <col min="16136" max="16136" width="7" customWidth="1"/>
    <col min="16138" max="16138" width="12.42578125" customWidth="1"/>
  </cols>
  <sheetData>
    <row r="1" spans="1:12" ht="15" x14ac:dyDescent="0.25">
      <c r="D1" s="744"/>
      <c r="E1" s="744"/>
      <c r="F1" s="745" t="s">
        <v>279</v>
      </c>
    </row>
    <row r="2" spans="1:12" ht="15.75" x14ac:dyDescent="0.25">
      <c r="B2" s="1165"/>
      <c r="C2" s="1165"/>
      <c r="D2" s="746"/>
      <c r="E2" s="746"/>
      <c r="F2" s="745" t="s">
        <v>314</v>
      </c>
    </row>
    <row r="3" spans="1:12" ht="15.75" x14ac:dyDescent="0.25">
      <c r="C3" s="747"/>
      <c r="D3" s="746"/>
      <c r="E3" s="746"/>
      <c r="F3" s="745" t="s">
        <v>315</v>
      </c>
    </row>
    <row r="4" spans="1:12" ht="15.75" x14ac:dyDescent="0.25">
      <c r="B4" s="1165"/>
      <c r="C4" s="1165"/>
    </row>
    <row r="5" spans="1:12" ht="15" x14ac:dyDescent="0.25">
      <c r="A5" s="744"/>
      <c r="B5" s="1166" t="s">
        <v>316</v>
      </c>
      <c r="C5" s="1167"/>
      <c r="D5" s="1167"/>
      <c r="E5" s="1167"/>
      <c r="F5" s="1167"/>
    </row>
    <row r="6" spans="1:12" ht="15" x14ac:dyDescent="0.25">
      <c r="A6" s="744"/>
      <c r="B6" s="1168" t="s">
        <v>317</v>
      </c>
      <c r="C6" s="1169"/>
      <c r="D6" s="1169"/>
      <c r="E6" s="1169"/>
      <c r="F6" s="1167"/>
    </row>
    <row r="7" spans="1:12" ht="15" x14ac:dyDescent="0.25">
      <c r="A7" s="744"/>
      <c r="B7" s="1170" t="s">
        <v>318</v>
      </c>
      <c r="C7" s="1171"/>
      <c r="D7" s="1171"/>
      <c r="E7" s="1171"/>
      <c r="F7" s="1172"/>
    </row>
    <row r="8" spans="1:12" ht="15" x14ac:dyDescent="0.25">
      <c r="A8" s="744"/>
      <c r="B8" s="1168" t="s">
        <v>319</v>
      </c>
      <c r="C8" s="1169"/>
      <c r="D8" s="1169"/>
      <c r="E8" s="1169"/>
      <c r="F8" s="1167"/>
    </row>
    <row r="9" spans="1:12" ht="15" x14ac:dyDescent="0.25">
      <c r="A9" s="744"/>
      <c r="B9" s="744"/>
      <c r="C9" s="744"/>
      <c r="D9" s="744"/>
      <c r="E9" s="744"/>
      <c r="F9" s="745"/>
    </row>
    <row r="10" spans="1:12" ht="33" customHeight="1" x14ac:dyDescent="0.25">
      <c r="A10" s="744"/>
      <c r="B10" s="1173" t="s">
        <v>112</v>
      </c>
      <c r="C10" s="1174" t="s">
        <v>320</v>
      </c>
      <c r="D10" s="1176" t="s">
        <v>321</v>
      </c>
      <c r="E10" s="1178" t="s">
        <v>322</v>
      </c>
      <c r="F10" s="1179"/>
      <c r="G10" s="749"/>
      <c r="H10" s="750" t="s">
        <v>323</v>
      </c>
    </row>
    <row r="11" spans="1:12" ht="25.15" customHeight="1" x14ac:dyDescent="0.25">
      <c r="A11" s="744"/>
      <c r="B11" s="1173"/>
      <c r="C11" s="1175"/>
      <c r="D11" s="1177"/>
      <c r="E11" s="751" t="s">
        <v>324</v>
      </c>
      <c r="F11" s="751" t="s">
        <v>325</v>
      </c>
      <c r="G11" s="752"/>
      <c r="H11" s="749"/>
    </row>
    <row r="12" spans="1:12" ht="30" customHeight="1" x14ac:dyDescent="0.25">
      <c r="A12" s="744"/>
      <c r="B12" s="753">
        <v>1</v>
      </c>
      <c r="C12" s="754" t="s">
        <v>326</v>
      </c>
      <c r="D12" s="751">
        <v>0</v>
      </c>
      <c r="E12" s="751">
        <v>0</v>
      </c>
      <c r="F12" s="751">
        <v>0</v>
      </c>
      <c r="G12" s="755">
        <v>5000</v>
      </c>
      <c r="H12" s="749"/>
      <c r="I12" s="45"/>
      <c r="J12" s="45"/>
      <c r="K12" s="45"/>
      <c r="L12" s="45"/>
    </row>
    <row r="13" spans="1:12" ht="36.75" customHeight="1" x14ac:dyDescent="0.25">
      <c r="A13" s="744"/>
      <c r="B13" s="753">
        <v>2</v>
      </c>
      <c r="C13" s="754" t="s">
        <v>327</v>
      </c>
      <c r="D13" s="751">
        <v>0</v>
      </c>
      <c r="E13" s="751">
        <v>0</v>
      </c>
      <c r="F13" s="751">
        <v>0</v>
      </c>
      <c r="G13" s="755"/>
      <c r="H13" s="756"/>
      <c r="I13" s="756"/>
      <c r="J13" s="45"/>
      <c r="K13" s="45"/>
      <c r="L13" s="45"/>
    </row>
    <row r="14" spans="1:12" ht="50.25" customHeight="1" x14ac:dyDescent="0.25">
      <c r="A14" s="744"/>
      <c r="B14" s="753">
        <v>3</v>
      </c>
      <c r="C14" s="754" t="s">
        <v>328</v>
      </c>
      <c r="D14" s="751">
        <f>E14+F14</f>
        <v>1424675</v>
      </c>
      <c r="E14" s="751">
        <f>'Пр1 РасшФОТ (2)'!N22</f>
        <v>1064250</v>
      </c>
      <c r="F14" s="757">
        <f>'Пр1 РасшФОТ (2)'!N25</f>
        <v>360425</v>
      </c>
      <c r="G14" s="755" t="e">
        <f>(75000-G12-G20-G22)/#REF!</f>
        <v>#REF!</v>
      </c>
      <c r="H14" s="756"/>
      <c r="I14" s="756"/>
      <c r="J14" s="756"/>
      <c r="K14" s="45"/>
      <c r="L14" s="45"/>
    </row>
    <row r="15" spans="1:12" ht="54" customHeight="1" x14ac:dyDescent="0.25">
      <c r="A15" s="744"/>
      <c r="B15" s="753">
        <v>4</v>
      </c>
      <c r="C15" s="754" t="s">
        <v>329</v>
      </c>
      <c r="D15" s="751">
        <f t="shared" ref="D15:D20" si="0">E15+F15</f>
        <v>394067.35</v>
      </c>
      <c r="E15" s="751">
        <f>E14*26.8%</f>
        <v>285219</v>
      </c>
      <c r="F15" s="757">
        <f>F14*30.2%</f>
        <v>108848.35</v>
      </c>
      <c r="G15" s="755" t="e">
        <f>G14*0.262</f>
        <v>#REF!</v>
      </c>
      <c r="H15" s="756"/>
      <c r="I15" s="756"/>
      <c r="J15" s="756"/>
      <c r="K15" s="45"/>
      <c r="L15" s="45"/>
    </row>
    <row r="16" spans="1:12" ht="33.6" customHeight="1" x14ac:dyDescent="0.25">
      <c r="A16" s="744"/>
      <c r="B16" s="753">
        <v>5</v>
      </c>
      <c r="C16" s="754" t="s">
        <v>330</v>
      </c>
      <c r="D16" s="751">
        <f t="shared" si="0"/>
        <v>0</v>
      </c>
      <c r="E16" s="751">
        <v>0</v>
      </c>
      <c r="F16" s="751">
        <v>0</v>
      </c>
      <c r="G16" s="755"/>
      <c r="H16" s="756"/>
      <c r="I16" s="756"/>
      <c r="J16" s="756"/>
      <c r="K16" s="45"/>
      <c r="L16" s="45"/>
    </row>
    <row r="17" spans="1:12" ht="45.6" customHeight="1" x14ac:dyDescent="0.25">
      <c r="A17" s="744"/>
      <c r="B17" s="753">
        <v>6</v>
      </c>
      <c r="C17" s="754" t="s">
        <v>331</v>
      </c>
      <c r="D17" s="751">
        <f>E17+F17</f>
        <v>1567142.5</v>
      </c>
      <c r="E17" s="751">
        <f>E14*110%</f>
        <v>1170675</v>
      </c>
      <c r="F17" s="751">
        <f>F14*110%</f>
        <v>396467.5</v>
      </c>
      <c r="G17" s="755" t="e">
        <f>G14*1.5</f>
        <v>#REF!</v>
      </c>
      <c r="H17" s="756"/>
      <c r="I17" s="756"/>
      <c r="J17" s="756"/>
      <c r="K17" s="45"/>
      <c r="L17" s="45"/>
    </row>
    <row r="18" spans="1:12" ht="21" hidden="1" customHeight="1" x14ac:dyDescent="0.25">
      <c r="A18" s="744"/>
      <c r="B18" s="753"/>
      <c r="C18" s="754" t="s">
        <v>332</v>
      </c>
      <c r="D18" s="751">
        <f t="shared" si="0"/>
        <v>0</v>
      </c>
      <c r="E18" s="751"/>
      <c r="F18" s="758"/>
      <c r="G18" s="755"/>
      <c r="H18" s="756"/>
      <c r="I18" s="756"/>
      <c r="J18" s="756"/>
      <c r="K18" s="45"/>
      <c r="L18" s="45"/>
    </row>
    <row r="19" spans="1:12" ht="21" customHeight="1" x14ac:dyDescent="0.25">
      <c r="A19" s="744"/>
      <c r="B19" s="753">
        <v>7</v>
      </c>
      <c r="C19" s="754" t="s">
        <v>333</v>
      </c>
      <c r="D19" s="751">
        <f>E19+F19</f>
        <v>3385884.85</v>
      </c>
      <c r="E19" s="751">
        <f>E14+E15+E16+E17</f>
        <v>2520144</v>
      </c>
      <c r="F19" s="751">
        <f>F14+F15+F16+F17</f>
        <v>865740.85</v>
      </c>
      <c r="G19" s="755" t="e">
        <f>G12+G14+G15+G17</f>
        <v>#REF!</v>
      </c>
      <c r="H19" s="756"/>
      <c r="I19" s="756"/>
      <c r="J19" s="756"/>
      <c r="K19" s="45"/>
      <c r="L19" s="45"/>
    </row>
    <row r="20" spans="1:12" ht="35.450000000000003" customHeight="1" x14ac:dyDescent="0.25">
      <c r="A20" s="744"/>
      <c r="B20" s="753">
        <v>8</v>
      </c>
      <c r="C20" s="754" t="s">
        <v>334</v>
      </c>
      <c r="D20" s="751">
        <f t="shared" si="0"/>
        <v>0</v>
      </c>
      <c r="E20" s="751">
        <v>0</v>
      </c>
      <c r="F20" s="751">
        <v>0</v>
      </c>
      <c r="G20" s="755">
        <v>16000</v>
      </c>
      <c r="H20" s="756"/>
      <c r="I20" s="756"/>
      <c r="J20" s="756"/>
      <c r="K20" s="45"/>
      <c r="L20" s="45"/>
    </row>
    <row r="21" spans="1:12" ht="31.15" customHeight="1" x14ac:dyDescent="0.25">
      <c r="A21" s="744"/>
      <c r="B21" s="753">
        <v>7</v>
      </c>
      <c r="C21" s="754" t="s">
        <v>335</v>
      </c>
      <c r="D21" s="751">
        <f>E21+F21</f>
        <v>3385884.85</v>
      </c>
      <c r="E21" s="751">
        <f>E19+E12+E13</f>
        <v>2520144</v>
      </c>
      <c r="F21" s="751">
        <f>F19+F12+F13</f>
        <v>865740.85</v>
      </c>
      <c r="G21" s="755"/>
      <c r="H21" s="756"/>
      <c r="I21" s="756"/>
      <c r="J21" s="756"/>
      <c r="K21" s="45"/>
      <c r="L21" s="45"/>
    </row>
    <row r="22" spans="1:12" ht="30" customHeight="1" x14ac:dyDescent="0.25">
      <c r="A22" s="744"/>
      <c r="B22" s="759">
        <v>8</v>
      </c>
      <c r="C22" s="754" t="s">
        <v>336</v>
      </c>
      <c r="D22" s="760">
        <f>E22+F22</f>
        <v>614115.15</v>
      </c>
      <c r="E22" s="751">
        <f>E21*20%-24172.8</f>
        <v>479856</v>
      </c>
      <c r="F22" s="751">
        <f>F21*20%-38889.02</f>
        <v>134259.15</v>
      </c>
      <c r="G22" s="761"/>
      <c r="H22" s="756"/>
      <c r="I22" s="756"/>
      <c r="J22" s="756"/>
      <c r="K22" s="45"/>
      <c r="L22" s="45"/>
    </row>
    <row r="23" spans="1:12" ht="30" customHeight="1" x14ac:dyDescent="0.25">
      <c r="A23" s="744"/>
      <c r="B23" s="753">
        <v>9</v>
      </c>
      <c r="C23" s="754" t="s">
        <v>337</v>
      </c>
      <c r="D23" s="762">
        <f>D21+D22</f>
        <v>4000000</v>
      </c>
      <c r="E23" s="763">
        <f>E21+E22</f>
        <v>3000000</v>
      </c>
      <c r="F23" s="764">
        <f>F21+F22</f>
        <v>1000000</v>
      </c>
      <c r="G23" s="765"/>
      <c r="H23" s="756"/>
      <c r="I23" s="756"/>
      <c r="J23" s="756"/>
      <c r="K23" s="45"/>
      <c r="L23" s="45"/>
    </row>
    <row r="24" spans="1:12" ht="15" hidden="1" x14ac:dyDescent="0.25">
      <c r="A24" s="744"/>
      <c r="B24" s="744"/>
      <c r="C24" s="744"/>
      <c r="D24" s="766"/>
      <c r="E24" s="766"/>
      <c r="F24" s="767">
        <f>F21+F22</f>
        <v>1000000</v>
      </c>
      <c r="G24" s="755"/>
      <c r="H24" s="756"/>
      <c r="I24" s="756"/>
      <c r="J24" s="756"/>
      <c r="K24" s="45"/>
      <c r="L24" s="45"/>
    </row>
    <row r="25" spans="1:12" ht="15" hidden="1" x14ac:dyDescent="0.25">
      <c r="A25" s="744"/>
      <c r="D25" s="768"/>
      <c r="E25" s="769" t="e">
        <f>#REF!/(E21+#REF!)*100</f>
        <v>#REF!</v>
      </c>
      <c r="F25" s="770"/>
      <c r="G25" s="749"/>
      <c r="H25" s="756"/>
      <c r="I25" s="756"/>
      <c r="J25" s="756"/>
      <c r="K25" s="45"/>
      <c r="L25" s="45"/>
    </row>
    <row r="26" spans="1:12" ht="15" hidden="1" x14ac:dyDescent="0.25">
      <c r="A26" s="744"/>
      <c r="D26" s="766"/>
      <c r="E26" s="766">
        <v>3000000</v>
      </c>
      <c r="F26" s="770">
        <f>D21+D22</f>
        <v>4000000</v>
      </c>
      <c r="G26" s="750"/>
      <c r="H26" s="756"/>
      <c r="I26" s="756"/>
      <c r="J26" s="756"/>
      <c r="K26" s="45"/>
      <c r="L26" s="45"/>
    </row>
    <row r="27" spans="1:12" ht="15" hidden="1" x14ac:dyDescent="0.25">
      <c r="A27" s="744"/>
      <c r="D27" s="771"/>
      <c r="E27" s="771"/>
      <c r="F27" s="766"/>
      <c r="H27" s="45"/>
      <c r="I27" s="45"/>
      <c r="J27" s="756"/>
      <c r="K27" s="45"/>
      <c r="L27" s="45"/>
    </row>
    <row r="28" spans="1:12" ht="15" hidden="1" x14ac:dyDescent="0.25">
      <c r="A28" s="744"/>
      <c r="B28" s="744"/>
      <c r="C28" s="772"/>
      <c r="D28" s="773"/>
      <c r="E28" s="773">
        <f>E23-E26</f>
        <v>0</v>
      </c>
      <c r="F28" s="551"/>
      <c r="H28" s="45"/>
      <c r="I28" s="45"/>
      <c r="J28" s="756"/>
      <c r="K28" s="45"/>
      <c r="L28" s="45"/>
    </row>
    <row r="29" spans="1:12" ht="15" x14ac:dyDescent="0.25">
      <c r="A29" s="744"/>
      <c r="B29" s="744"/>
      <c r="C29" s="744"/>
      <c r="D29" s="766"/>
      <c r="E29" s="766"/>
      <c r="F29" s="551"/>
      <c r="H29" s="45"/>
      <c r="I29" s="45"/>
      <c r="J29" s="756"/>
      <c r="K29" s="45"/>
      <c r="L29" s="45"/>
    </row>
    <row r="30" spans="1:12" ht="15" x14ac:dyDescent="0.25">
      <c r="A30" s="744"/>
      <c r="B30" s="1164" t="s">
        <v>338</v>
      </c>
      <c r="C30" s="1164"/>
      <c r="D30" s="1164"/>
      <c r="E30" s="1164"/>
      <c r="F30" s="1164"/>
      <c r="H30" s="45"/>
      <c r="I30" s="45"/>
      <c r="J30" s="756"/>
      <c r="K30" s="45"/>
      <c r="L30" s="45"/>
    </row>
    <row r="31" spans="1:12" ht="22.9" customHeight="1" x14ac:dyDescent="0.25">
      <c r="A31" s="744"/>
      <c r="B31" s="1164"/>
      <c r="C31" s="1164"/>
      <c r="D31" s="1164"/>
      <c r="E31" s="1164"/>
      <c r="F31" s="1164"/>
      <c r="H31" s="45"/>
      <c r="I31" s="45"/>
      <c r="J31" s="756"/>
      <c r="K31" s="45"/>
      <c r="L31" s="45"/>
    </row>
    <row r="32" spans="1:12" ht="15" x14ac:dyDescent="0.2">
      <c r="B32" s="1164" t="s">
        <v>339</v>
      </c>
      <c r="C32" s="1164"/>
      <c r="D32" s="1164"/>
      <c r="E32" s="1164"/>
      <c r="F32" s="1164"/>
      <c r="H32" s="45"/>
      <c r="I32" s="45"/>
      <c r="J32" s="756"/>
      <c r="K32" s="45"/>
      <c r="L32" s="45"/>
    </row>
    <row r="33" spans="2:12" ht="17.45" customHeight="1" x14ac:dyDescent="0.2">
      <c r="B33" s="1164"/>
      <c r="C33" s="1164"/>
      <c r="D33" s="1164"/>
      <c r="E33" s="1164"/>
      <c r="F33" s="1164"/>
      <c r="H33" s="45"/>
      <c r="I33" s="45"/>
      <c r="J33" s="45"/>
      <c r="K33" s="45"/>
      <c r="L33" s="45"/>
    </row>
    <row r="34" spans="2:12" ht="15.75" x14ac:dyDescent="0.25">
      <c r="B34" s="546"/>
      <c r="C34" s="550"/>
      <c r="D34" s="546"/>
      <c r="E34" s="550"/>
      <c r="F34" s="546"/>
      <c r="H34" s="45"/>
      <c r="I34" s="45"/>
      <c r="J34" s="45"/>
      <c r="K34" s="45"/>
      <c r="L34" s="45"/>
    </row>
    <row r="35" spans="2:12" ht="15.75" x14ac:dyDescent="0.25">
      <c r="B35" s="546"/>
      <c r="C35" s="550" t="s">
        <v>245</v>
      </c>
      <c r="D35" s="774"/>
      <c r="E35" s="747"/>
      <c r="F35" s="775" t="s">
        <v>246</v>
      </c>
      <c r="G35" s="75"/>
      <c r="H35" s="45"/>
      <c r="I35" s="45"/>
      <c r="J35" s="45"/>
      <c r="K35" s="45"/>
      <c r="L35" s="45"/>
    </row>
    <row r="36" spans="2:12" ht="15.75" x14ac:dyDescent="0.25">
      <c r="D36" s="776"/>
      <c r="E36" s="776"/>
      <c r="F36" s="777"/>
      <c r="G36" s="75"/>
      <c r="H36" s="45"/>
      <c r="I36" s="45"/>
      <c r="J36" s="45"/>
      <c r="K36" s="45"/>
      <c r="L36" s="45"/>
    </row>
    <row r="37" spans="2:12" ht="15.75" x14ac:dyDescent="0.25">
      <c r="C37" s="550" t="s">
        <v>247</v>
      </c>
      <c r="D37" s="776"/>
      <c r="E37" s="776"/>
      <c r="F37" s="775" t="s">
        <v>248</v>
      </c>
      <c r="G37" s="775"/>
    </row>
    <row r="38" spans="2:12" ht="15.75" x14ac:dyDescent="0.25">
      <c r="F38" s="777"/>
      <c r="G38" s="777"/>
    </row>
  </sheetData>
  <mergeCells count="12">
    <mergeCell ref="B32:F33"/>
    <mergeCell ref="B2:C2"/>
    <mergeCell ref="B4:C4"/>
    <mergeCell ref="B5:F5"/>
    <mergeCell ref="B6:F6"/>
    <mergeCell ref="B7:F7"/>
    <mergeCell ref="B8:F8"/>
    <mergeCell ref="B10:B11"/>
    <mergeCell ref="C10:C11"/>
    <mergeCell ref="D10:D11"/>
    <mergeCell ref="E10:F10"/>
    <mergeCell ref="B30:F31"/>
  </mergeCells>
  <pageMargins left="0.19685039370078741" right="0.19685039370078741" top="0.19685039370078741" bottom="0.19685039370078741" header="0.51181102362204722" footer="0.51181102362204722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2"/>
  <sheetViews>
    <sheetView topLeftCell="A7" workbookViewId="0">
      <selection activeCell="G19" sqref="G19:G21"/>
    </sheetView>
  </sheetViews>
  <sheetFormatPr defaultRowHeight="12.75" x14ac:dyDescent="0.2"/>
  <cols>
    <col min="1" max="1" width="17.140625" customWidth="1"/>
    <col min="8" max="8" width="10.140625" customWidth="1"/>
    <col min="9" max="9" width="12.7109375" customWidth="1"/>
    <col min="10" max="10" width="8.28515625" customWidth="1"/>
    <col min="14" max="14" width="13" customWidth="1"/>
    <col min="15" max="15" width="11.7109375" customWidth="1"/>
    <col min="16" max="16" width="11.7109375" bestFit="1" customWidth="1"/>
    <col min="257" max="257" width="17.140625" customWidth="1"/>
    <col min="264" max="264" width="10.140625" customWidth="1"/>
    <col min="265" max="265" width="12.7109375" customWidth="1"/>
    <col min="266" max="266" width="8.28515625" customWidth="1"/>
    <col min="270" max="270" width="13" customWidth="1"/>
    <col min="271" max="271" width="11.7109375" customWidth="1"/>
    <col min="272" max="272" width="11.7109375" bestFit="1" customWidth="1"/>
    <col min="513" max="513" width="17.140625" customWidth="1"/>
    <col min="520" max="520" width="10.140625" customWidth="1"/>
    <col min="521" max="521" width="12.7109375" customWidth="1"/>
    <col min="522" max="522" width="8.28515625" customWidth="1"/>
    <col min="526" max="526" width="13" customWidth="1"/>
    <col min="527" max="527" width="11.7109375" customWidth="1"/>
    <col min="528" max="528" width="11.7109375" bestFit="1" customWidth="1"/>
    <col min="769" max="769" width="17.140625" customWidth="1"/>
    <col min="776" max="776" width="10.140625" customWidth="1"/>
    <col min="777" max="777" width="12.7109375" customWidth="1"/>
    <col min="778" max="778" width="8.28515625" customWidth="1"/>
    <col min="782" max="782" width="13" customWidth="1"/>
    <col min="783" max="783" width="11.7109375" customWidth="1"/>
    <col min="784" max="784" width="11.7109375" bestFit="1" customWidth="1"/>
    <col min="1025" max="1025" width="17.140625" customWidth="1"/>
    <col min="1032" max="1032" width="10.140625" customWidth="1"/>
    <col min="1033" max="1033" width="12.7109375" customWidth="1"/>
    <col min="1034" max="1034" width="8.28515625" customWidth="1"/>
    <col min="1038" max="1038" width="13" customWidth="1"/>
    <col min="1039" max="1039" width="11.7109375" customWidth="1"/>
    <col min="1040" max="1040" width="11.7109375" bestFit="1" customWidth="1"/>
    <col min="1281" max="1281" width="17.140625" customWidth="1"/>
    <col min="1288" max="1288" width="10.140625" customWidth="1"/>
    <col min="1289" max="1289" width="12.7109375" customWidth="1"/>
    <col min="1290" max="1290" width="8.28515625" customWidth="1"/>
    <col min="1294" max="1294" width="13" customWidth="1"/>
    <col min="1295" max="1295" width="11.7109375" customWidth="1"/>
    <col min="1296" max="1296" width="11.7109375" bestFit="1" customWidth="1"/>
    <col min="1537" max="1537" width="17.140625" customWidth="1"/>
    <col min="1544" max="1544" width="10.140625" customWidth="1"/>
    <col min="1545" max="1545" width="12.7109375" customWidth="1"/>
    <col min="1546" max="1546" width="8.28515625" customWidth="1"/>
    <col min="1550" max="1550" width="13" customWidth="1"/>
    <col min="1551" max="1551" width="11.7109375" customWidth="1"/>
    <col min="1552" max="1552" width="11.7109375" bestFit="1" customWidth="1"/>
    <col min="1793" max="1793" width="17.140625" customWidth="1"/>
    <col min="1800" max="1800" width="10.140625" customWidth="1"/>
    <col min="1801" max="1801" width="12.7109375" customWidth="1"/>
    <col min="1802" max="1802" width="8.28515625" customWidth="1"/>
    <col min="1806" max="1806" width="13" customWidth="1"/>
    <col min="1807" max="1807" width="11.7109375" customWidth="1"/>
    <col min="1808" max="1808" width="11.7109375" bestFit="1" customWidth="1"/>
    <col min="2049" max="2049" width="17.140625" customWidth="1"/>
    <col min="2056" max="2056" width="10.140625" customWidth="1"/>
    <col min="2057" max="2057" width="12.7109375" customWidth="1"/>
    <col min="2058" max="2058" width="8.28515625" customWidth="1"/>
    <col min="2062" max="2062" width="13" customWidth="1"/>
    <col min="2063" max="2063" width="11.7109375" customWidth="1"/>
    <col min="2064" max="2064" width="11.7109375" bestFit="1" customWidth="1"/>
    <col min="2305" max="2305" width="17.140625" customWidth="1"/>
    <col min="2312" max="2312" width="10.140625" customWidth="1"/>
    <col min="2313" max="2313" width="12.7109375" customWidth="1"/>
    <col min="2314" max="2314" width="8.28515625" customWidth="1"/>
    <col min="2318" max="2318" width="13" customWidth="1"/>
    <col min="2319" max="2319" width="11.7109375" customWidth="1"/>
    <col min="2320" max="2320" width="11.7109375" bestFit="1" customWidth="1"/>
    <col min="2561" max="2561" width="17.140625" customWidth="1"/>
    <col min="2568" max="2568" width="10.140625" customWidth="1"/>
    <col min="2569" max="2569" width="12.7109375" customWidth="1"/>
    <col min="2570" max="2570" width="8.28515625" customWidth="1"/>
    <col min="2574" max="2574" width="13" customWidth="1"/>
    <col min="2575" max="2575" width="11.7109375" customWidth="1"/>
    <col min="2576" max="2576" width="11.7109375" bestFit="1" customWidth="1"/>
    <col min="2817" max="2817" width="17.140625" customWidth="1"/>
    <col min="2824" max="2824" width="10.140625" customWidth="1"/>
    <col min="2825" max="2825" width="12.7109375" customWidth="1"/>
    <col min="2826" max="2826" width="8.28515625" customWidth="1"/>
    <col min="2830" max="2830" width="13" customWidth="1"/>
    <col min="2831" max="2831" width="11.7109375" customWidth="1"/>
    <col min="2832" max="2832" width="11.7109375" bestFit="1" customWidth="1"/>
    <col min="3073" max="3073" width="17.140625" customWidth="1"/>
    <col min="3080" max="3080" width="10.140625" customWidth="1"/>
    <col min="3081" max="3081" width="12.7109375" customWidth="1"/>
    <col min="3082" max="3082" width="8.28515625" customWidth="1"/>
    <col min="3086" max="3086" width="13" customWidth="1"/>
    <col min="3087" max="3087" width="11.7109375" customWidth="1"/>
    <col min="3088" max="3088" width="11.7109375" bestFit="1" customWidth="1"/>
    <col min="3329" max="3329" width="17.140625" customWidth="1"/>
    <col min="3336" max="3336" width="10.140625" customWidth="1"/>
    <col min="3337" max="3337" width="12.7109375" customWidth="1"/>
    <col min="3338" max="3338" width="8.28515625" customWidth="1"/>
    <col min="3342" max="3342" width="13" customWidth="1"/>
    <col min="3343" max="3343" width="11.7109375" customWidth="1"/>
    <col min="3344" max="3344" width="11.7109375" bestFit="1" customWidth="1"/>
    <col min="3585" max="3585" width="17.140625" customWidth="1"/>
    <col min="3592" max="3592" width="10.140625" customWidth="1"/>
    <col min="3593" max="3593" width="12.7109375" customWidth="1"/>
    <col min="3594" max="3594" width="8.28515625" customWidth="1"/>
    <col min="3598" max="3598" width="13" customWidth="1"/>
    <col min="3599" max="3599" width="11.7109375" customWidth="1"/>
    <col min="3600" max="3600" width="11.7109375" bestFit="1" customWidth="1"/>
    <col min="3841" max="3841" width="17.140625" customWidth="1"/>
    <col min="3848" max="3848" width="10.140625" customWidth="1"/>
    <col min="3849" max="3849" width="12.7109375" customWidth="1"/>
    <col min="3850" max="3850" width="8.28515625" customWidth="1"/>
    <col min="3854" max="3854" width="13" customWidth="1"/>
    <col min="3855" max="3855" width="11.7109375" customWidth="1"/>
    <col min="3856" max="3856" width="11.7109375" bestFit="1" customWidth="1"/>
    <col min="4097" max="4097" width="17.140625" customWidth="1"/>
    <col min="4104" max="4104" width="10.140625" customWidth="1"/>
    <col min="4105" max="4105" width="12.7109375" customWidth="1"/>
    <col min="4106" max="4106" width="8.28515625" customWidth="1"/>
    <col min="4110" max="4110" width="13" customWidth="1"/>
    <col min="4111" max="4111" width="11.7109375" customWidth="1"/>
    <col min="4112" max="4112" width="11.7109375" bestFit="1" customWidth="1"/>
    <col min="4353" max="4353" width="17.140625" customWidth="1"/>
    <col min="4360" max="4360" width="10.140625" customWidth="1"/>
    <col min="4361" max="4361" width="12.7109375" customWidth="1"/>
    <col min="4362" max="4362" width="8.28515625" customWidth="1"/>
    <col min="4366" max="4366" width="13" customWidth="1"/>
    <col min="4367" max="4367" width="11.7109375" customWidth="1"/>
    <col min="4368" max="4368" width="11.7109375" bestFit="1" customWidth="1"/>
    <col min="4609" max="4609" width="17.140625" customWidth="1"/>
    <col min="4616" max="4616" width="10.140625" customWidth="1"/>
    <col min="4617" max="4617" width="12.7109375" customWidth="1"/>
    <col min="4618" max="4618" width="8.28515625" customWidth="1"/>
    <col min="4622" max="4622" width="13" customWidth="1"/>
    <col min="4623" max="4623" width="11.7109375" customWidth="1"/>
    <col min="4624" max="4624" width="11.7109375" bestFit="1" customWidth="1"/>
    <col min="4865" max="4865" width="17.140625" customWidth="1"/>
    <col min="4872" max="4872" width="10.140625" customWidth="1"/>
    <col min="4873" max="4873" width="12.7109375" customWidth="1"/>
    <col min="4874" max="4874" width="8.28515625" customWidth="1"/>
    <col min="4878" max="4878" width="13" customWidth="1"/>
    <col min="4879" max="4879" width="11.7109375" customWidth="1"/>
    <col min="4880" max="4880" width="11.7109375" bestFit="1" customWidth="1"/>
    <col min="5121" max="5121" width="17.140625" customWidth="1"/>
    <col min="5128" max="5128" width="10.140625" customWidth="1"/>
    <col min="5129" max="5129" width="12.7109375" customWidth="1"/>
    <col min="5130" max="5130" width="8.28515625" customWidth="1"/>
    <col min="5134" max="5134" width="13" customWidth="1"/>
    <col min="5135" max="5135" width="11.7109375" customWidth="1"/>
    <col min="5136" max="5136" width="11.7109375" bestFit="1" customWidth="1"/>
    <col min="5377" max="5377" width="17.140625" customWidth="1"/>
    <col min="5384" max="5384" width="10.140625" customWidth="1"/>
    <col min="5385" max="5385" width="12.7109375" customWidth="1"/>
    <col min="5386" max="5386" width="8.28515625" customWidth="1"/>
    <col min="5390" max="5390" width="13" customWidth="1"/>
    <col min="5391" max="5391" width="11.7109375" customWidth="1"/>
    <col min="5392" max="5392" width="11.7109375" bestFit="1" customWidth="1"/>
    <col min="5633" max="5633" width="17.140625" customWidth="1"/>
    <col min="5640" max="5640" width="10.140625" customWidth="1"/>
    <col min="5641" max="5641" width="12.7109375" customWidth="1"/>
    <col min="5642" max="5642" width="8.28515625" customWidth="1"/>
    <col min="5646" max="5646" width="13" customWidth="1"/>
    <col min="5647" max="5647" width="11.7109375" customWidth="1"/>
    <col min="5648" max="5648" width="11.7109375" bestFit="1" customWidth="1"/>
    <col min="5889" max="5889" width="17.140625" customWidth="1"/>
    <col min="5896" max="5896" width="10.140625" customWidth="1"/>
    <col min="5897" max="5897" width="12.7109375" customWidth="1"/>
    <col min="5898" max="5898" width="8.28515625" customWidth="1"/>
    <col min="5902" max="5902" width="13" customWidth="1"/>
    <col min="5903" max="5903" width="11.7109375" customWidth="1"/>
    <col min="5904" max="5904" width="11.7109375" bestFit="1" customWidth="1"/>
    <col min="6145" max="6145" width="17.140625" customWidth="1"/>
    <col min="6152" max="6152" width="10.140625" customWidth="1"/>
    <col min="6153" max="6153" width="12.7109375" customWidth="1"/>
    <col min="6154" max="6154" width="8.28515625" customWidth="1"/>
    <col min="6158" max="6158" width="13" customWidth="1"/>
    <col min="6159" max="6159" width="11.7109375" customWidth="1"/>
    <col min="6160" max="6160" width="11.7109375" bestFit="1" customWidth="1"/>
    <col min="6401" max="6401" width="17.140625" customWidth="1"/>
    <col min="6408" max="6408" width="10.140625" customWidth="1"/>
    <col min="6409" max="6409" width="12.7109375" customWidth="1"/>
    <col min="6410" max="6410" width="8.28515625" customWidth="1"/>
    <col min="6414" max="6414" width="13" customWidth="1"/>
    <col min="6415" max="6415" width="11.7109375" customWidth="1"/>
    <col min="6416" max="6416" width="11.7109375" bestFit="1" customWidth="1"/>
    <col min="6657" max="6657" width="17.140625" customWidth="1"/>
    <col min="6664" max="6664" width="10.140625" customWidth="1"/>
    <col min="6665" max="6665" width="12.7109375" customWidth="1"/>
    <col min="6666" max="6666" width="8.28515625" customWidth="1"/>
    <col min="6670" max="6670" width="13" customWidth="1"/>
    <col min="6671" max="6671" width="11.7109375" customWidth="1"/>
    <col min="6672" max="6672" width="11.7109375" bestFit="1" customWidth="1"/>
    <col min="6913" max="6913" width="17.140625" customWidth="1"/>
    <col min="6920" max="6920" width="10.140625" customWidth="1"/>
    <col min="6921" max="6921" width="12.7109375" customWidth="1"/>
    <col min="6922" max="6922" width="8.28515625" customWidth="1"/>
    <col min="6926" max="6926" width="13" customWidth="1"/>
    <col min="6927" max="6927" width="11.7109375" customWidth="1"/>
    <col min="6928" max="6928" width="11.7109375" bestFit="1" customWidth="1"/>
    <col min="7169" max="7169" width="17.140625" customWidth="1"/>
    <col min="7176" max="7176" width="10.140625" customWidth="1"/>
    <col min="7177" max="7177" width="12.7109375" customWidth="1"/>
    <col min="7178" max="7178" width="8.28515625" customWidth="1"/>
    <col min="7182" max="7182" width="13" customWidth="1"/>
    <col min="7183" max="7183" width="11.7109375" customWidth="1"/>
    <col min="7184" max="7184" width="11.7109375" bestFit="1" customWidth="1"/>
    <col min="7425" max="7425" width="17.140625" customWidth="1"/>
    <col min="7432" max="7432" width="10.140625" customWidth="1"/>
    <col min="7433" max="7433" width="12.7109375" customWidth="1"/>
    <col min="7434" max="7434" width="8.28515625" customWidth="1"/>
    <col min="7438" max="7438" width="13" customWidth="1"/>
    <col min="7439" max="7439" width="11.7109375" customWidth="1"/>
    <col min="7440" max="7440" width="11.7109375" bestFit="1" customWidth="1"/>
    <col min="7681" max="7681" width="17.140625" customWidth="1"/>
    <col min="7688" max="7688" width="10.140625" customWidth="1"/>
    <col min="7689" max="7689" width="12.7109375" customWidth="1"/>
    <col min="7690" max="7690" width="8.28515625" customWidth="1"/>
    <col min="7694" max="7694" width="13" customWidth="1"/>
    <col min="7695" max="7695" width="11.7109375" customWidth="1"/>
    <col min="7696" max="7696" width="11.7109375" bestFit="1" customWidth="1"/>
    <col min="7937" max="7937" width="17.140625" customWidth="1"/>
    <col min="7944" max="7944" width="10.140625" customWidth="1"/>
    <col min="7945" max="7945" width="12.7109375" customWidth="1"/>
    <col min="7946" max="7946" width="8.28515625" customWidth="1"/>
    <col min="7950" max="7950" width="13" customWidth="1"/>
    <col min="7951" max="7951" width="11.7109375" customWidth="1"/>
    <col min="7952" max="7952" width="11.7109375" bestFit="1" customWidth="1"/>
    <col min="8193" max="8193" width="17.140625" customWidth="1"/>
    <col min="8200" max="8200" width="10.140625" customWidth="1"/>
    <col min="8201" max="8201" width="12.7109375" customWidth="1"/>
    <col min="8202" max="8202" width="8.28515625" customWidth="1"/>
    <col min="8206" max="8206" width="13" customWidth="1"/>
    <col min="8207" max="8207" width="11.7109375" customWidth="1"/>
    <col min="8208" max="8208" width="11.7109375" bestFit="1" customWidth="1"/>
    <col min="8449" max="8449" width="17.140625" customWidth="1"/>
    <col min="8456" max="8456" width="10.140625" customWidth="1"/>
    <col min="8457" max="8457" width="12.7109375" customWidth="1"/>
    <col min="8458" max="8458" width="8.28515625" customWidth="1"/>
    <col min="8462" max="8462" width="13" customWidth="1"/>
    <col min="8463" max="8463" width="11.7109375" customWidth="1"/>
    <col min="8464" max="8464" width="11.7109375" bestFit="1" customWidth="1"/>
    <col min="8705" max="8705" width="17.140625" customWidth="1"/>
    <col min="8712" max="8712" width="10.140625" customWidth="1"/>
    <col min="8713" max="8713" width="12.7109375" customWidth="1"/>
    <col min="8714" max="8714" width="8.28515625" customWidth="1"/>
    <col min="8718" max="8718" width="13" customWidth="1"/>
    <col min="8719" max="8719" width="11.7109375" customWidth="1"/>
    <col min="8720" max="8720" width="11.7109375" bestFit="1" customWidth="1"/>
    <col min="8961" max="8961" width="17.140625" customWidth="1"/>
    <col min="8968" max="8968" width="10.140625" customWidth="1"/>
    <col min="8969" max="8969" width="12.7109375" customWidth="1"/>
    <col min="8970" max="8970" width="8.28515625" customWidth="1"/>
    <col min="8974" max="8974" width="13" customWidth="1"/>
    <col min="8975" max="8975" width="11.7109375" customWidth="1"/>
    <col min="8976" max="8976" width="11.7109375" bestFit="1" customWidth="1"/>
    <col min="9217" max="9217" width="17.140625" customWidth="1"/>
    <col min="9224" max="9224" width="10.140625" customWidth="1"/>
    <col min="9225" max="9225" width="12.7109375" customWidth="1"/>
    <col min="9226" max="9226" width="8.28515625" customWidth="1"/>
    <col min="9230" max="9230" width="13" customWidth="1"/>
    <col min="9231" max="9231" width="11.7109375" customWidth="1"/>
    <col min="9232" max="9232" width="11.7109375" bestFit="1" customWidth="1"/>
    <col min="9473" max="9473" width="17.140625" customWidth="1"/>
    <col min="9480" max="9480" width="10.140625" customWidth="1"/>
    <col min="9481" max="9481" width="12.7109375" customWidth="1"/>
    <col min="9482" max="9482" width="8.28515625" customWidth="1"/>
    <col min="9486" max="9486" width="13" customWidth="1"/>
    <col min="9487" max="9487" width="11.7109375" customWidth="1"/>
    <col min="9488" max="9488" width="11.7109375" bestFit="1" customWidth="1"/>
    <col min="9729" max="9729" width="17.140625" customWidth="1"/>
    <col min="9736" max="9736" width="10.140625" customWidth="1"/>
    <col min="9737" max="9737" width="12.7109375" customWidth="1"/>
    <col min="9738" max="9738" width="8.28515625" customWidth="1"/>
    <col min="9742" max="9742" width="13" customWidth="1"/>
    <col min="9743" max="9743" width="11.7109375" customWidth="1"/>
    <col min="9744" max="9744" width="11.7109375" bestFit="1" customWidth="1"/>
    <col min="9985" max="9985" width="17.140625" customWidth="1"/>
    <col min="9992" max="9992" width="10.140625" customWidth="1"/>
    <col min="9993" max="9993" width="12.7109375" customWidth="1"/>
    <col min="9994" max="9994" width="8.28515625" customWidth="1"/>
    <col min="9998" max="9998" width="13" customWidth="1"/>
    <col min="9999" max="9999" width="11.7109375" customWidth="1"/>
    <col min="10000" max="10000" width="11.7109375" bestFit="1" customWidth="1"/>
    <col min="10241" max="10241" width="17.140625" customWidth="1"/>
    <col min="10248" max="10248" width="10.140625" customWidth="1"/>
    <col min="10249" max="10249" width="12.7109375" customWidth="1"/>
    <col min="10250" max="10250" width="8.28515625" customWidth="1"/>
    <col min="10254" max="10254" width="13" customWidth="1"/>
    <col min="10255" max="10255" width="11.7109375" customWidth="1"/>
    <col min="10256" max="10256" width="11.7109375" bestFit="1" customWidth="1"/>
    <col min="10497" max="10497" width="17.140625" customWidth="1"/>
    <col min="10504" max="10504" width="10.140625" customWidth="1"/>
    <col min="10505" max="10505" width="12.7109375" customWidth="1"/>
    <col min="10506" max="10506" width="8.28515625" customWidth="1"/>
    <col min="10510" max="10510" width="13" customWidth="1"/>
    <col min="10511" max="10511" width="11.7109375" customWidth="1"/>
    <col min="10512" max="10512" width="11.7109375" bestFit="1" customWidth="1"/>
    <col min="10753" max="10753" width="17.140625" customWidth="1"/>
    <col min="10760" max="10760" width="10.140625" customWidth="1"/>
    <col min="10761" max="10761" width="12.7109375" customWidth="1"/>
    <col min="10762" max="10762" width="8.28515625" customWidth="1"/>
    <col min="10766" max="10766" width="13" customWidth="1"/>
    <col min="10767" max="10767" width="11.7109375" customWidth="1"/>
    <col min="10768" max="10768" width="11.7109375" bestFit="1" customWidth="1"/>
    <col min="11009" max="11009" width="17.140625" customWidth="1"/>
    <col min="11016" max="11016" width="10.140625" customWidth="1"/>
    <col min="11017" max="11017" width="12.7109375" customWidth="1"/>
    <col min="11018" max="11018" width="8.28515625" customWidth="1"/>
    <col min="11022" max="11022" width="13" customWidth="1"/>
    <col min="11023" max="11023" width="11.7109375" customWidth="1"/>
    <col min="11024" max="11024" width="11.7109375" bestFit="1" customWidth="1"/>
    <col min="11265" max="11265" width="17.140625" customWidth="1"/>
    <col min="11272" max="11272" width="10.140625" customWidth="1"/>
    <col min="11273" max="11273" width="12.7109375" customWidth="1"/>
    <col min="11274" max="11274" width="8.28515625" customWidth="1"/>
    <col min="11278" max="11278" width="13" customWidth="1"/>
    <col min="11279" max="11279" width="11.7109375" customWidth="1"/>
    <col min="11280" max="11280" width="11.7109375" bestFit="1" customWidth="1"/>
    <col min="11521" max="11521" width="17.140625" customWidth="1"/>
    <col min="11528" max="11528" width="10.140625" customWidth="1"/>
    <col min="11529" max="11529" width="12.7109375" customWidth="1"/>
    <col min="11530" max="11530" width="8.28515625" customWidth="1"/>
    <col min="11534" max="11534" width="13" customWidth="1"/>
    <col min="11535" max="11535" width="11.7109375" customWidth="1"/>
    <col min="11536" max="11536" width="11.7109375" bestFit="1" customWidth="1"/>
    <col min="11777" max="11777" width="17.140625" customWidth="1"/>
    <col min="11784" max="11784" width="10.140625" customWidth="1"/>
    <col min="11785" max="11785" width="12.7109375" customWidth="1"/>
    <col min="11786" max="11786" width="8.28515625" customWidth="1"/>
    <col min="11790" max="11790" width="13" customWidth="1"/>
    <col min="11791" max="11791" width="11.7109375" customWidth="1"/>
    <col min="11792" max="11792" width="11.7109375" bestFit="1" customWidth="1"/>
    <col min="12033" max="12033" width="17.140625" customWidth="1"/>
    <col min="12040" max="12040" width="10.140625" customWidth="1"/>
    <col min="12041" max="12041" width="12.7109375" customWidth="1"/>
    <col min="12042" max="12042" width="8.28515625" customWidth="1"/>
    <col min="12046" max="12046" width="13" customWidth="1"/>
    <col min="12047" max="12047" width="11.7109375" customWidth="1"/>
    <col min="12048" max="12048" width="11.7109375" bestFit="1" customWidth="1"/>
    <col min="12289" max="12289" width="17.140625" customWidth="1"/>
    <col min="12296" max="12296" width="10.140625" customWidth="1"/>
    <col min="12297" max="12297" width="12.7109375" customWidth="1"/>
    <col min="12298" max="12298" width="8.28515625" customWidth="1"/>
    <col min="12302" max="12302" width="13" customWidth="1"/>
    <col min="12303" max="12303" width="11.7109375" customWidth="1"/>
    <col min="12304" max="12304" width="11.7109375" bestFit="1" customWidth="1"/>
    <col min="12545" max="12545" width="17.140625" customWidth="1"/>
    <col min="12552" max="12552" width="10.140625" customWidth="1"/>
    <col min="12553" max="12553" width="12.7109375" customWidth="1"/>
    <col min="12554" max="12554" width="8.28515625" customWidth="1"/>
    <col min="12558" max="12558" width="13" customWidth="1"/>
    <col min="12559" max="12559" width="11.7109375" customWidth="1"/>
    <col min="12560" max="12560" width="11.7109375" bestFit="1" customWidth="1"/>
    <col min="12801" max="12801" width="17.140625" customWidth="1"/>
    <col min="12808" max="12808" width="10.140625" customWidth="1"/>
    <col min="12809" max="12809" width="12.7109375" customWidth="1"/>
    <col min="12810" max="12810" width="8.28515625" customWidth="1"/>
    <col min="12814" max="12814" width="13" customWidth="1"/>
    <col min="12815" max="12815" width="11.7109375" customWidth="1"/>
    <col min="12816" max="12816" width="11.7109375" bestFit="1" customWidth="1"/>
    <col min="13057" max="13057" width="17.140625" customWidth="1"/>
    <col min="13064" max="13064" width="10.140625" customWidth="1"/>
    <col min="13065" max="13065" width="12.7109375" customWidth="1"/>
    <col min="13066" max="13066" width="8.28515625" customWidth="1"/>
    <col min="13070" max="13070" width="13" customWidth="1"/>
    <col min="13071" max="13071" width="11.7109375" customWidth="1"/>
    <col min="13072" max="13072" width="11.7109375" bestFit="1" customWidth="1"/>
    <col min="13313" max="13313" width="17.140625" customWidth="1"/>
    <col min="13320" max="13320" width="10.140625" customWidth="1"/>
    <col min="13321" max="13321" width="12.7109375" customWidth="1"/>
    <col min="13322" max="13322" width="8.28515625" customWidth="1"/>
    <col min="13326" max="13326" width="13" customWidth="1"/>
    <col min="13327" max="13327" width="11.7109375" customWidth="1"/>
    <col min="13328" max="13328" width="11.7109375" bestFit="1" customWidth="1"/>
    <col min="13569" max="13569" width="17.140625" customWidth="1"/>
    <col min="13576" max="13576" width="10.140625" customWidth="1"/>
    <col min="13577" max="13577" width="12.7109375" customWidth="1"/>
    <col min="13578" max="13578" width="8.28515625" customWidth="1"/>
    <col min="13582" max="13582" width="13" customWidth="1"/>
    <col min="13583" max="13583" width="11.7109375" customWidth="1"/>
    <col min="13584" max="13584" width="11.7109375" bestFit="1" customWidth="1"/>
    <col min="13825" max="13825" width="17.140625" customWidth="1"/>
    <col min="13832" max="13832" width="10.140625" customWidth="1"/>
    <col min="13833" max="13833" width="12.7109375" customWidth="1"/>
    <col min="13834" max="13834" width="8.28515625" customWidth="1"/>
    <col min="13838" max="13838" width="13" customWidth="1"/>
    <col min="13839" max="13839" width="11.7109375" customWidth="1"/>
    <col min="13840" max="13840" width="11.7109375" bestFit="1" customWidth="1"/>
    <col min="14081" max="14081" width="17.140625" customWidth="1"/>
    <col min="14088" max="14088" width="10.140625" customWidth="1"/>
    <col min="14089" max="14089" width="12.7109375" customWidth="1"/>
    <col min="14090" max="14090" width="8.28515625" customWidth="1"/>
    <col min="14094" max="14094" width="13" customWidth="1"/>
    <col min="14095" max="14095" width="11.7109375" customWidth="1"/>
    <col min="14096" max="14096" width="11.7109375" bestFit="1" customWidth="1"/>
    <col min="14337" max="14337" width="17.140625" customWidth="1"/>
    <col min="14344" max="14344" width="10.140625" customWidth="1"/>
    <col min="14345" max="14345" width="12.7109375" customWidth="1"/>
    <col min="14346" max="14346" width="8.28515625" customWidth="1"/>
    <col min="14350" max="14350" width="13" customWidth="1"/>
    <col min="14351" max="14351" width="11.7109375" customWidth="1"/>
    <col min="14352" max="14352" width="11.7109375" bestFit="1" customWidth="1"/>
    <col min="14593" max="14593" width="17.140625" customWidth="1"/>
    <col min="14600" max="14600" width="10.140625" customWidth="1"/>
    <col min="14601" max="14601" width="12.7109375" customWidth="1"/>
    <col min="14602" max="14602" width="8.28515625" customWidth="1"/>
    <col min="14606" max="14606" width="13" customWidth="1"/>
    <col min="14607" max="14607" width="11.7109375" customWidth="1"/>
    <col min="14608" max="14608" width="11.7109375" bestFit="1" customWidth="1"/>
    <col min="14849" max="14849" width="17.140625" customWidth="1"/>
    <col min="14856" max="14856" width="10.140625" customWidth="1"/>
    <col min="14857" max="14857" width="12.7109375" customWidth="1"/>
    <col min="14858" max="14858" width="8.28515625" customWidth="1"/>
    <col min="14862" max="14862" width="13" customWidth="1"/>
    <col min="14863" max="14863" width="11.7109375" customWidth="1"/>
    <col min="14864" max="14864" width="11.7109375" bestFit="1" customWidth="1"/>
    <col min="15105" max="15105" width="17.140625" customWidth="1"/>
    <col min="15112" max="15112" width="10.140625" customWidth="1"/>
    <col min="15113" max="15113" width="12.7109375" customWidth="1"/>
    <col min="15114" max="15114" width="8.28515625" customWidth="1"/>
    <col min="15118" max="15118" width="13" customWidth="1"/>
    <col min="15119" max="15119" width="11.7109375" customWidth="1"/>
    <col min="15120" max="15120" width="11.7109375" bestFit="1" customWidth="1"/>
    <col min="15361" max="15361" width="17.140625" customWidth="1"/>
    <col min="15368" max="15368" width="10.140625" customWidth="1"/>
    <col min="15369" max="15369" width="12.7109375" customWidth="1"/>
    <col min="15370" max="15370" width="8.28515625" customWidth="1"/>
    <col min="15374" max="15374" width="13" customWidth="1"/>
    <col min="15375" max="15375" width="11.7109375" customWidth="1"/>
    <col min="15376" max="15376" width="11.7109375" bestFit="1" customWidth="1"/>
    <col min="15617" max="15617" width="17.140625" customWidth="1"/>
    <col min="15624" max="15624" width="10.140625" customWidth="1"/>
    <col min="15625" max="15625" width="12.7109375" customWidth="1"/>
    <col min="15626" max="15626" width="8.28515625" customWidth="1"/>
    <col min="15630" max="15630" width="13" customWidth="1"/>
    <col min="15631" max="15631" width="11.7109375" customWidth="1"/>
    <col min="15632" max="15632" width="11.7109375" bestFit="1" customWidth="1"/>
    <col min="15873" max="15873" width="17.140625" customWidth="1"/>
    <col min="15880" max="15880" width="10.140625" customWidth="1"/>
    <col min="15881" max="15881" width="12.7109375" customWidth="1"/>
    <col min="15882" max="15882" width="8.28515625" customWidth="1"/>
    <col min="15886" max="15886" width="13" customWidth="1"/>
    <col min="15887" max="15887" width="11.7109375" customWidth="1"/>
    <col min="15888" max="15888" width="11.7109375" bestFit="1" customWidth="1"/>
    <col min="16129" max="16129" width="17.140625" customWidth="1"/>
    <col min="16136" max="16136" width="10.140625" customWidth="1"/>
    <col min="16137" max="16137" width="12.7109375" customWidth="1"/>
    <col min="16138" max="16138" width="8.28515625" customWidth="1"/>
    <col min="16142" max="16142" width="13" customWidth="1"/>
    <col min="16143" max="16143" width="11.7109375" customWidth="1"/>
    <col min="16144" max="16144" width="11.7109375" bestFit="1" customWidth="1"/>
  </cols>
  <sheetData>
    <row r="1" spans="1:14" ht="15" x14ac:dyDescent="0.25">
      <c r="A1" s="778"/>
      <c r="B1" s="778"/>
      <c r="C1" s="778"/>
      <c r="D1" s="778"/>
      <c r="E1" s="778"/>
      <c r="F1" s="778"/>
      <c r="G1" s="778"/>
      <c r="H1" s="778"/>
      <c r="I1" s="778"/>
      <c r="J1" s="778"/>
      <c r="K1" s="778"/>
      <c r="L1" s="778"/>
      <c r="M1" s="778"/>
      <c r="N1" s="794" t="s">
        <v>340</v>
      </c>
    </row>
    <row r="2" spans="1:14" ht="15" x14ac:dyDescent="0.25">
      <c r="A2" s="778"/>
      <c r="B2" s="778"/>
      <c r="C2" s="778"/>
      <c r="D2" s="778"/>
      <c r="E2" s="778"/>
      <c r="F2" s="778"/>
      <c r="G2" s="778"/>
      <c r="H2" s="778"/>
      <c r="I2" s="778"/>
      <c r="J2" s="778"/>
      <c r="K2" s="794"/>
      <c r="L2" s="794"/>
      <c r="M2" s="794"/>
      <c r="N2" s="794" t="s">
        <v>354</v>
      </c>
    </row>
    <row r="3" spans="1:14" ht="15" x14ac:dyDescent="0.25">
      <c r="A3" s="778"/>
      <c r="B3" s="778"/>
      <c r="C3" s="778"/>
      <c r="D3" s="778"/>
      <c r="E3" s="778"/>
      <c r="F3" s="778"/>
      <c r="G3" s="778"/>
      <c r="H3" s="778"/>
      <c r="I3" s="778"/>
      <c r="J3" s="778"/>
      <c r="K3" s="794"/>
      <c r="L3" s="794"/>
      <c r="M3" s="794"/>
      <c r="N3" s="794" t="s">
        <v>342</v>
      </c>
    </row>
    <row r="4" spans="1:14" ht="15" x14ac:dyDescent="0.25">
      <c r="A4" s="778"/>
      <c r="B4" s="778"/>
      <c r="C4" s="778"/>
      <c r="D4" s="778"/>
      <c r="E4" s="778"/>
      <c r="F4" s="778"/>
      <c r="G4" s="778"/>
      <c r="H4" s="778"/>
      <c r="I4" s="778"/>
      <c r="J4" s="778"/>
      <c r="K4" s="794"/>
      <c r="L4" s="794"/>
      <c r="M4" s="794"/>
      <c r="N4" s="794" t="s">
        <v>355</v>
      </c>
    </row>
    <row r="5" spans="1:14" ht="15" x14ac:dyDescent="0.25">
      <c r="A5" s="778"/>
      <c r="B5" s="778"/>
      <c r="C5" s="778"/>
      <c r="D5" s="778"/>
      <c r="E5" s="778"/>
      <c r="F5" s="778"/>
      <c r="G5" s="778"/>
      <c r="H5" s="778"/>
      <c r="I5" s="778"/>
      <c r="J5" s="778"/>
      <c r="K5" s="778"/>
      <c r="L5" s="778"/>
      <c r="M5" s="778"/>
      <c r="N5" s="778"/>
    </row>
    <row r="6" spans="1:14" x14ac:dyDescent="0.2">
      <c r="A6" s="795"/>
      <c r="B6" s="549"/>
      <c r="C6" s="549"/>
      <c r="D6" s="549"/>
      <c r="E6" s="549"/>
      <c r="F6" s="549"/>
      <c r="G6" s="549"/>
      <c r="H6" s="549"/>
      <c r="I6" s="549"/>
      <c r="J6" s="549"/>
      <c r="K6" s="549"/>
      <c r="L6" s="549"/>
      <c r="M6" s="549"/>
      <c r="N6" s="549"/>
    </row>
    <row r="7" spans="1:14" ht="18.75" x14ac:dyDescent="0.2">
      <c r="A7" s="1188" t="s">
        <v>356</v>
      </c>
      <c r="B7" s="1188"/>
      <c r="C7" s="1188"/>
      <c r="D7" s="1188"/>
      <c r="E7" s="1188"/>
      <c r="F7" s="1188"/>
      <c r="G7" s="1188"/>
      <c r="H7" s="1188"/>
      <c r="I7" s="1188"/>
      <c r="J7" s="1188"/>
      <c r="K7" s="1188"/>
      <c r="L7" s="1188"/>
      <c r="M7" s="1188"/>
      <c r="N7" s="1188"/>
    </row>
    <row r="8" spans="1:14" ht="19.899999999999999" customHeight="1" x14ac:dyDescent="0.2">
      <c r="A8" s="1188" t="s">
        <v>357</v>
      </c>
      <c r="B8" s="1188"/>
      <c r="C8" s="1188"/>
      <c r="D8" s="1188"/>
      <c r="E8" s="1188"/>
      <c r="F8" s="1188"/>
      <c r="G8" s="1188"/>
      <c r="H8" s="1188"/>
      <c r="I8" s="1188"/>
      <c r="J8" s="1188"/>
      <c r="K8" s="1188"/>
      <c r="L8" s="1188"/>
      <c r="M8" s="1188"/>
      <c r="N8" s="1188"/>
    </row>
    <row r="9" spans="1:14" ht="19.899999999999999" customHeight="1" x14ac:dyDescent="0.2">
      <c r="A9" s="1189" t="s">
        <v>358</v>
      </c>
      <c r="B9" s="1189"/>
      <c r="C9" s="1189"/>
      <c r="D9" s="1189"/>
      <c r="E9" s="1189"/>
      <c r="F9" s="1189"/>
      <c r="G9" s="1189"/>
      <c r="H9" s="1189"/>
      <c r="I9" s="1189"/>
      <c r="J9" s="1189"/>
      <c r="K9" s="1189"/>
      <c r="L9" s="1189"/>
      <c r="M9" s="1189"/>
      <c r="N9" s="1189"/>
    </row>
    <row r="10" spans="1:14" ht="16.5" x14ac:dyDescent="0.2">
      <c r="A10" s="1190"/>
      <c r="B10" s="1190"/>
      <c r="C10" s="1190"/>
      <c r="D10" s="1190"/>
      <c r="E10" s="1190"/>
      <c r="F10" s="1190"/>
      <c r="G10" s="1190"/>
      <c r="H10" s="1190"/>
      <c r="I10" s="1190"/>
      <c r="J10" s="1190"/>
      <c r="K10" s="1190"/>
      <c r="L10" s="1190"/>
      <c r="M10" s="1190"/>
      <c r="N10" s="1190"/>
    </row>
    <row r="11" spans="1:14" ht="13.15" customHeight="1" x14ac:dyDescent="0.2">
      <c r="A11" s="1185" t="s">
        <v>359</v>
      </c>
      <c r="B11" s="1191" t="s">
        <v>360</v>
      </c>
      <c r="C11" s="1192"/>
      <c r="D11" s="1192"/>
      <c r="E11" s="1192"/>
      <c r="F11" s="1192"/>
      <c r="G11" s="1192"/>
      <c r="H11" s="1192"/>
      <c r="I11" s="1192"/>
      <c r="J11" s="1192"/>
      <c r="K11" s="1192"/>
      <c r="L11" s="1192"/>
      <c r="M11" s="1193"/>
      <c r="N11" s="1185" t="s">
        <v>361</v>
      </c>
    </row>
    <row r="12" spans="1:14" ht="16.899999999999999" customHeight="1" x14ac:dyDescent="0.2">
      <c r="A12" s="1186"/>
      <c r="B12" s="1191" t="s">
        <v>362</v>
      </c>
      <c r="C12" s="1191"/>
      <c r="D12" s="1191"/>
      <c r="E12" s="1197"/>
      <c r="F12" s="1198" t="s">
        <v>363</v>
      </c>
      <c r="G12" s="1191"/>
      <c r="H12" s="1191"/>
      <c r="I12" s="1197"/>
      <c r="J12" s="1191" t="s">
        <v>364</v>
      </c>
      <c r="K12" s="1191"/>
      <c r="L12" s="1191"/>
      <c r="M12" s="1197"/>
      <c r="N12" s="1194"/>
    </row>
    <row r="13" spans="1:14" ht="13.15" customHeight="1" x14ac:dyDescent="0.2">
      <c r="A13" s="1186"/>
      <c r="B13" s="1185" t="s">
        <v>365</v>
      </c>
      <c r="C13" s="1185" t="s">
        <v>366</v>
      </c>
      <c r="D13" s="1185" t="s">
        <v>367</v>
      </c>
      <c r="E13" s="1185" t="s">
        <v>368</v>
      </c>
      <c r="F13" s="1185" t="s">
        <v>365</v>
      </c>
      <c r="G13" s="1185" t="s">
        <v>366</v>
      </c>
      <c r="H13" s="1185" t="s">
        <v>367</v>
      </c>
      <c r="I13" s="1185" t="s">
        <v>368</v>
      </c>
      <c r="J13" s="1185" t="s">
        <v>365</v>
      </c>
      <c r="K13" s="1185" t="s">
        <v>366</v>
      </c>
      <c r="L13" s="1185" t="s">
        <v>367</v>
      </c>
      <c r="M13" s="1185" t="s">
        <v>368</v>
      </c>
      <c r="N13" s="1195"/>
    </row>
    <row r="14" spans="1:14" x14ac:dyDescent="0.2">
      <c r="A14" s="1186"/>
      <c r="B14" s="1186"/>
      <c r="C14" s="1186"/>
      <c r="D14" s="1186"/>
      <c r="E14" s="1186"/>
      <c r="F14" s="1186"/>
      <c r="G14" s="1186"/>
      <c r="H14" s="1186"/>
      <c r="I14" s="1186"/>
      <c r="J14" s="1186"/>
      <c r="K14" s="1186"/>
      <c r="L14" s="1186"/>
      <c r="M14" s="1186"/>
      <c r="N14" s="1195"/>
    </row>
    <row r="15" spans="1:14" x14ac:dyDescent="0.2">
      <c r="A15" s="1186"/>
      <c r="B15" s="1186"/>
      <c r="C15" s="1186"/>
      <c r="D15" s="1186"/>
      <c r="E15" s="1186"/>
      <c r="F15" s="1186"/>
      <c r="G15" s="1186"/>
      <c r="H15" s="1186"/>
      <c r="I15" s="1186"/>
      <c r="J15" s="1186"/>
      <c r="K15" s="1186"/>
      <c r="L15" s="1186"/>
      <c r="M15" s="1186"/>
      <c r="N15" s="1195"/>
    </row>
    <row r="16" spans="1:14" x14ac:dyDescent="0.2">
      <c r="A16" s="1187"/>
      <c r="B16" s="1187"/>
      <c r="C16" s="1187"/>
      <c r="D16" s="1187"/>
      <c r="E16" s="1187"/>
      <c r="F16" s="1187"/>
      <c r="G16" s="1187"/>
      <c r="H16" s="1187"/>
      <c r="I16" s="1187"/>
      <c r="J16" s="1187"/>
      <c r="K16" s="1187"/>
      <c r="L16" s="1187"/>
      <c r="M16" s="1187"/>
      <c r="N16" s="1196"/>
    </row>
    <row r="17" spans="1:18" x14ac:dyDescent="0.2">
      <c r="A17" s="796" t="s">
        <v>369</v>
      </c>
      <c r="B17" s="797" t="s">
        <v>370</v>
      </c>
      <c r="C17" s="797" t="s">
        <v>371</v>
      </c>
      <c r="D17" s="797" t="s">
        <v>372</v>
      </c>
      <c r="E17" s="797" t="s">
        <v>373</v>
      </c>
      <c r="F17" s="797" t="s">
        <v>374</v>
      </c>
      <c r="G17" s="797" t="s">
        <v>375</v>
      </c>
      <c r="H17" s="797" t="s">
        <v>376</v>
      </c>
      <c r="I17" s="797" t="s">
        <v>377</v>
      </c>
      <c r="J17" s="797" t="s">
        <v>378</v>
      </c>
      <c r="K17" s="797" t="s">
        <v>379</v>
      </c>
      <c r="L17" s="797" t="s">
        <v>380</v>
      </c>
      <c r="M17" s="797" t="s">
        <v>381</v>
      </c>
      <c r="N17" s="797" t="s">
        <v>382</v>
      </c>
    </row>
    <row r="18" spans="1:18" ht="17.45" customHeight="1" x14ac:dyDescent="0.2">
      <c r="A18" s="798" t="s">
        <v>383</v>
      </c>
      <c r="B18" s="799"/>
      <c r="C18" s="800"/>
      <c r="D18" s="799"/>
      <c r="E18" s="800"/>
      <c r="F18" s="799"/>
      <c r="G18" s="800"/>
      <c r="H18" s="799"/>
      <c r="I18" s="800"/>
      <c r="J18" s="799"/>
      <c r="K18" s="800"/>
      <c r="L18" s="799"/>
      <c r="M18" s="800"/>
      <c r="N18" s="801"/>
      <c r="O18" s="544"/>
    </row>
    <row r="19" spans="1:18" ht="32.450000000000003" customHeight="1" x14ac:dyDescent="0.2">
      <c r="A19" s="802" t="s">
        <v>384</v>
      </c>
      <c r="B19" s="803" t="s">
        <v>385</v>
      </c>
      <c r="C19" s="804" t="s">
        <v>385</v>
      </c>
      <c r="D19" s="803" t="s">
        <v>385</v>
      </c>
      <c r="E19" s="804" t="s">
        <v>385</v>
      </c>
      <c r="F19" s="805">
        <v>7</v>
      </c>
      <c r="G19" s="806">
        <v>20.5</v>
      </c>
      <c r="H19" s="807">
        <v>49500</v>
      </c>
      <c r="I19" s="808">
        <f>H19*G19</f>
        <v>1014750</v>
      </c>
      <c r="J19" s="803" t="s">
        <v>385</v>
      </c>
      <c r="K19" s="804" t="s">
        <v>385</v>
      </c>
      <c r="L19" s="803" t="s">
        <v>385</v>
      </c>
      <c r="M19" s="804" t="s">
        <v>385</v>
      </c>
      <c r="N19" s="809">
        <f>I19</f>
        <v>1014750</v>
      </c>
      <c r="O19" s="544"/>
    </row>
    <row r="20" spans="1:18" ht="18.600000000000001" customHeight="1" x14ac:dyDescent="0.2">
      <c r="A20" s="802" t="s">
        <v>386</v>
      </c>
      <c r="B20" s="803"/>
      <c r="C20" s="804"/>
      <c r="D20" s="803"/>
      <c r="E20" s="804"/>
      <c r="F20" s="805"/>
      <c r="G20" s="806"/>
      <c r="H20" s="807"/>
      <c r="I20" s="808"/>
      <c r="J20" s="803"/>
      <c r="K20" s="804"/>
      <c r="L20" s="803"/>
      <c r="M20" s="804"/>
      <c r="N20" s="809"/>
      <c r="O20" s="545"/>
    </row>
    <row r="21" spans="1:18" ht="32.450000000000003" customHeight="1" x14ac:dyDescent="0.2">
      <c r="A21" s="802" t="s">
        <v>387</v>
      </c>
      <c r="B21" s="803" t="s">
        <v>385</v>
      </c>
      <c r="C21" s="804" t="s">
        <v>385</v>
      </c>
      <c r="D21" s="803" t="s">
        <v>385</v>
      </c>
      <c r="E21" s="804" t="s">
        <v>385</v>
      </c>
      <c r="F21" s="805">
        <v>4</v>
      </c>
      <c r="G21" s="806">
        <v>1</v>
      </c>
      <c r="H21" s="807">
        <v>49500</v>
      </c>
      <c r="I21" s="808">
        <f>H21*G21</f>
        <v>49500</v>
      </c>
      <c r="J21" s="803" t="s">
        <v>385</v>
      </c>
      <c r="K21" s="804" t="s">
        <v>385</v>
      </c>
      <c r="L21" s="803" t="s">
        <v>385</v>
      </c>
      <c r="M21" s="804" t="s">
        <v>385</v>
      </c>
      <c r="N21" s="809">
        <f>I21</f>
        <v>49500</v>
      </c>
      <c r="O21" s="545"/>
    </row>
    <row r="22" spans="1:18" ht="27" customHeight="1" x14ac:dyDescent="0.2">
      <c r="A22" s="810" t="s">
        <v>388</v>
      </c>
      <c r="B22" s="803"/>
      <c r="C22" s="804"/>
      <c r="D22" s="803"/>
      <c r="E22" s="804"/>
      <c r="F22" s="805"/>
      <c r="G22" s="806"/>
      <c r="H22" s="807"/>
      <c r="I22" s="808"/>
      <c r="J22" s="803"/>
      <c r="K22" s="804"/>
      <c r="L22" s="803"/>
      <c r="M22" s="804"/>
      <c r="N22" s="811">
        <f>N21+N19</f>
        <v>1064250</v>
      </c>
      <c r="O22" s="545"/>
    </row>
    <row r="23" spans="1:18" ht="27" customHeight="1" x14ac:dyDescent="0.2">
      <c r="A23" s="802" t="s">
        <v>389</v>
      </c>
      <c r="B23" s="803"/>
      <c r="C23" s="804"/>
      <c r="D23" s="803"/>
      <c r="E23" s="804"/>
      <c r="F23" s="805"/>
      <c r="G23" s="806"/>
      <c r="H23" s="807"/>
      <c r="I23" s="808"/>
      <c r="J23" s="803"/>
      <c r="K23" s="804"/>
      <c r="L23" s="803"/>
      <c r="M23" s="804"/>
      <c r="N23" s="811"/>
      <c r="O23" s="545"/>
    </row>
    <row r="24" spans="1:18" ht="28.15" customHeight="1" x14ac:dyDescent="0.2">
      <c r="A24" s="802" t="s">
        <v>390</v>
      </c>
      <c r="B24" s="803" t="s">
        <v>385</v>
      </c>
      <c r="C24" s="804" t="s">
        <v>385</v>
      </c>
      <c r="D24" s="803" t="s">
        <v>385</v>
      </c>
      <c r="E24" s="804" t="s">
        <v>385</v>
      </c>
      <c r="F24" s="805">
        <v>5</v>
      </c>
      <c r="G24" s="806">
        <v>6.5</v>
      </c>
      <c r="H24" s="807">
        <v>55450</v>
      </c>
      <c r="I24" s="808">
        <f>H24*G24</f>
        <v>360425</v>
      </c>
      <c r="J24" s="803" t="s">
        <v>385</v>
      </c>
      <c r="K24" s="804" t="s">
        <v>385</v>
      </c>
      <c r="L24" s="803" t="s">
        <v>385</v>
      </c>
      <c r="M24" s="804" t="s">
        <v>385</v>
      </c>
      <c r="N24" s="809">
        <f>I24</f>
        <v>360425</v>
      </c>
      <c r="O24" s="545"/>
    </row>
    <row r="25" spans="1:18" ht="21.6" customHeight="1" x14ac:dyDescent="0.2">
      <c r="A25" s="810" t="s">
        <v>391</v>
      </c>
      <c r="B25" s="803"/>
      <c r="C25" s="804"/>
      <c r="D25" s="803"/>
      <c r="E25" s="804"/>
      <c r="F25" s="805"/>
      <c r="G25" s="806"/>
      <c r="H25" s="807"/>
      <c r="I25" s="808"/>
      <c r="J25" s="803"/>
      <c r="K25" s="804"/>
      <c r="L25" s="803"/>
      <c r="M25" s="804"/>
      <c r="N25" s="811">
        <f>SUM(N24:N24)</f>
        <v>360425</v>
      </c>
      <c r="O25" s="812"/>
      <c r="P25" s="813"/>
      <c r="Q25" s="814"/>
      <c r="R25" s="814"/>
    </row>
    <row r="26" spans="1:18" ht="19.899999999999999" customHeight="1" x14ac:dyDescent="0.2">
      <c r="A26" s="815"/>
      <c r="B26" s="1180" t="s">
        <v>392</v>
      </c>
      <c r="C26" s="1180"/>
      <c r="D26" s="1180"/>
      <c r="E26" s="1180"/>
      <c r="F26" s="1180"/>
      <c r="G26" s="1180"/>
      <c r="H26" s="1180"/>
      <c r="I26" s="1180"/>
      <c r="J26" s="1180"/>
      <c r="K26" s="1180"/>
      <c r="L26" s="1180"/>
      <c r="M26" s="1181"/>
      <c r="N26" s="816">
        <f>N22+N25</f>
        <v>1424675</v>
      </c>
      <c r="O26" s="544"/>
    </row>
    <row r="27" spans="1:18" ht="29.45" customHeight="1" x14ac:dyDescent="0.2">
      <c r="A27" s="795"/>
      <c r="B27" s="817"/>
      <c r="C27" s="795"/>
      <c r="D27" s="818"/>
      <c r="E27" s="795"/>
      <c r="F27" s="818"/>
      <c r="G27" s="795"/>
      <c r="H27" s="795"/>
      <c r="I27" s="795"/>
      <c r="J27" s="549"/>
      <c r="K27" s="795"/>
      <c r="L27" s="795"/>
      <c r="M27" s="795"/>
      <c r="N27" s="795"/>
      <c r="O27" s="544"/>
    </row>
    <row r="28" spans="1:18" ht="15.75" x14ac:dyDescent="0.25">
      <c r="A28" s="550" t="s">
        <v>245</v>
      </c>
      <c r="B28" s="548"/>
      <c r="C28" s="819"/>
      <c r="D28" s="819"/>
      <c r="E28" s="819"/>
      <c r="F28" s="819"/>
      <c r="G28" s="550" t="s">
        <v>246</v>
      </c>
      <c r="H28" s="544"/>
      <c r="I28" s="1182" t="s">
        <v>393</v>
      </c>
      <c r="J28" s="1182"/>
      <c r="K28" s="1182"/>
      <c r="L28" s="1182"/>
      <c r="M28" s="1182"/>
      <c r="N28" s="1182"/>
      <c r="O28" s="544"/>
    </row>
    <row r="29" spans="1:18" ht="15.75" x14ac:dyDescent="0.25">
      <c r="A29" s="544"/>
      <c r="B29" s="547"/>
      <c r="C29" s="547"/>
      <c r="D29" s="547"/>
      <c r="E29" s="547"/>
      <c r="F29" s="547"/>
      <c r="G29" s="820"/>
      <c r="H29" s="544"/>
      <c r="I29" s="1182"/>
      <c r="J29" s="1182"/>
      <c r="K29" s="1182"/>
      <c r="L29" s="1182"/>
      <c r="M29" s="1182"/>
      <c r="N29" s="1182"/>
      <c r="O29" s="544"/>
    </row>
    <row r="30" spans="1:18" ht="15.75" x14ac:dyDescent="0.25">
      <c r="A30" s="550" t="s">
        <v>247</v>
      </c>
      <c r="B30" s="547"/>
      <c r="C30" s="547"/>
      <c r="D30" s="547"/>
      <c r="E30" s="547"/>
      <c r="F30" s="547"/>
      <c r="G30" s="1183" t="s">
        <v>248</v>
      </c>
      <c r="H30" s="1183"/>
      <c r="I30" s="546"/>
      <c r="J30" s="546"/>
      <c r="K30" s="546"/>
      <c r="L30" s="821"/>
      <c r="M30" s="1184"/>
      <c r="N30" s="1184"/>
      <c r="O30" s="544"/>
    </row>
    <row r="31" spans="1:18" ht="15.75" x14ac:dyDescent="0.25">
      <c r="A31" s="544"/>
      <c r="B31" s="544"/>
      <c r="C31" s="547"/>
      <c r="D31" s="547"/>
      <c r="E31" s="547" t="s">
        <v>352</v>
      </c>
      <c r="F31" s="547"/>
      <c r="G31" s="820"/>
      <c r="H31" s="544"/>
      <c r="I31" s="546"/>
      <c r="J31" s="544"/>
      <c r="K31" s="544"/>
      <c r="L31" s="550"/>
      <c r="M31" s="548"/>
      <c r="N31" s="546"/>
      <c r="O31" s="544"/>
    </row>
    <row r="32" spans="1:18" x14ac:dyDescent="0.2">
      <c r="A32" s="795"/>
      <c r="B32" s="795"/>
      <c r="C32" s="795"/>
      <c r="D32" s="795"/>
      <c r="E32" s="795"/>
      <c r="F32" s="795"/>
      <c r="G32" s="795"/>
      <c r="H32" s="795"/>
      <c r="I32" s="795"/>
      <c r="J32" s="795"/>
      <c r="K32" s="795"/>
      <c r="L32" s="795"/>
      <c r="M32" s="795"/>
      <c r="N32" s="795"/>
      <c r="O32" s="544"/>
    </row>
    <row r="33" spans="1:15" x14ac:dyDescent="0.2">
      <c r="A33" s="795"/>
      <c r="B33" s="795"/>
      <c r="C33" s="795"/>
      <c r="D33" s="795"/>
      <c r="E33" s="795"/>
      <c r="F33" s="795"/>
      <c r="G33" s="795"/>
      <c r="H33" s="795"/>
      <c r="I33" s="795"/>
      <c r="J33" s="795"/>
      <c r="K33" s="795"/>
      <c r="L33" s="795"/>
      <c r="M33" s="795"/>
      <c r="N33" s="795"/>
      <c r="O33" s="544"/>
    </row>
    <row r="34" spans="1:15" x14ac:dyDescent="0.2">
      <c r="A34" s="795"/>
      <c r="B34" s="795"/>
      <c r="C34" s="795"/>
      <c r="D34" s="795"/>
      <c r="E34" s="795"/>
      <c r="F34" s="795"/>
      <c r="G34" s="795"/>
      <c r="H34" s="795"/>
      <c r="I34" s="795"/>
      <c r="J34" s="795"/>
      <c r="K34" s="795"/>
      <c r="L34" s="795"/>
      <c r="M34" s="795"/>
      <c r="N34" s="795"/>
      <c r="O34" s="544"/>
    </row>
    <row r="35" spans="1:15" x14ac:dyDescent="0.2">
      <c r="A35" s="795"/>
      <c r="B35" s="795"/>
      <c r="C35" s="795"/>
      <c r="D35" s="795"/>
      <c r="E35" s="795"/>
      <c r="F35" s="795"/>
      <c r="G35" s="795"/>
      <c r="H35" s="795"/>
      <c r="I35" s="795"/>
      <c r="J35" s="795"/>
      <c r="K35" s="795"/>
      <c r="L35" s="795"/>
      <c r="M35" s="795"/>
      <c r="N35" s="795"/>
      <c r="O35" s="544"/>
    </row>
    <row r="36" spans="1:15" x14ac:dyDescent="0.2">
      <c r="A36" s="795"/>
      <c r="B36" s="795"/>
      <c r="C36" s="795"/>
      <c r="D36" s="795"/>
      <c r="E36" s="795"/>
      <c r="F36" s="795"/>
      <c r="G36" s="795"/>
      <c r="H36" s="795"/>
      <c r="I36" s="795"/>
      <c r="J36" s="795"/>
      <c r="K36" s="795"/>
      <c r="L36" s="795"/>
      <c r="M36" s="795"/>
      <c r="N36" s="795"/>
      <c r="O36" s="544"/>
    </row>
    <row r="37" spans="1:15" x14ac:dyDescent="0.2">
      <c r="A37" s="795"/>
      <c r="B37" s="795"/>
      <c r="C37" s="795"/>
      <c r="D37" s="795"/>
      <c r="E37" s="795"/>
      <c r="F37" s="795"/>
      <c r="G37" s="795"/>
      <c r="H37" s="795"/>
      <c r="I37" s="795"/>
      <c r="J37" s="795"/>
      <c r="K37" s="795"/>
      <c r="L37" s="795"/>
      <c r="M37" s="795"/>
      <c r="N37" s="795"/>
      <c r="O37" s="544"/>
    </row>
    <row r="38" spans="1:15" x14ac:dyDescent="0.2">
      <c r="A38" s="795"/>
      <c r="B38" s="795"/>
      <c r="C38" s="795"/>
      <c r="D38" s="795"/>
      <c r="E38" s="795"/>
      <c r="F38" s="795"/>
      <c r="G38" s="795"/>
      <c r="H38" s="795"/>
      <c r="I38" s="795"/>
      <c r="J38" s="795"/>
      <c r="K38" s="795"/>
      <c r="L38" s="795"/>
      <c r="M38" s="795"/>
      <c r="N38" s="795"/>
      <c r="O38" s="544"/>
    </row>
    <row r="39" spans="1:15" x14ac:dyDescent="0.2">
      <c r="A39" s="795"/>
      <c r="B39" s="795"/>
      <c r="C39" s="795"/>
      <c r="D39" s="795"/>
      <c r="E39" s="795"/>
      <c r="F39" s="795"/>
      <c r="G39" s="795"/>
      <c r="H39" s="795"/>
      <c r="I39" s="795"/>
      <c r="J39" s="795"/>
      <c r="K39" s="795"/>
      <c r="L39" s="795"/>
      <c r="M39" s="795"/>
      <c r="N39" s="795"/>
      <c r="O39" s="544"/>
    </row>
    <row r="40" spans="1:15" x14ac:dyDescent="0.2">
      <c r="A40" s="795"/>
      <c r="B40" s="795"/>
      <c r="C40" s="795"/>
      <c r="D40" s="795"/>
      <c r="E40" s="795"/>
      <c r="F40" s="795"/>
      <c r="G40" s="795"/>
      <c r="H40" s="795"/>
      <c r="I40" s="795"/>
      <c r="J40" s="795"/>
      <c r="K40" s="795"/>
      <c r="L40" s="795"/>
      <c r="M40" s="795"/>
      <c r="N40" s="795"/>
      <c r="O40" s="544"/>
    </row>
    <row r="41" spans="1:15" x14ac:dyDescent="0.2">
      <c r="A41" s="795"/>
      <c r="B41" s="795"/>
      <c r="C41" s="795"/>
      <c r="D41" s="795"/>
      <c r="E41" s="795"/>
      <c r="F41" s="795"/>
      <c r="G41" s="795"/>
      <c r="H41" s="795"/>
      <c r="I41" s="795"/>
      <c r="J41" s="795"/>
      <c r="K41" s="795"/>
      <c r="L41" s="795"/>
      <c r="M41" s="795"/>
      <c r="N41" s="795"/>
      <c r="O41" s="544"/>
    </row>
    <row r="42" spans="1:15" x14ac:dyDescent="0.2">
      <c r="A42" s="795"/>
      <c r="B42" s="795"/>
      <c r="C42" s="795"/>
      <c r="D42" s="795"/>
      <c r="E42" s="795"/>
      <c r="F42" s="795"/>
      <c r="G42" s="795"/>
      <c r="H42" s="795"/>
      <c r="I42" s="795"/>
      <c r="J42" s="795"/>
      <c r="K42" s="795"/>
      <c r="L42" s="795"/>
      <c r="M42" s="795"/>
      <c r="N42" s="795"/>
      <c r="O42" s="544"/>
    </row>
    <row r="43" spans="1:15" x14ac:dyDescent="0.2">
      <c r="A43" s="795"/>
      <c r="B43" s="795"/>
      <c r="C43" s="795"/>
      <c r="D43" s="795"/>
      <c r="E43" s="795"/>
      <c r="F43" s="795"/>
      <c r="G43" s="795"/>
      <c r="H43" s="795"/>
      <c r="I43" s="795"/>
      <c r="J43" s="795"/>
      <c r="K43" s="795"/>
      <c r="L43" s="795"/>
      <c r="M43" s="795"/>
      <c r="N43" s="795"/>
      <c r="O43" s="544"/>
    </row>
    <row r="44" spans="1:15" x14ac:dyDescent="0.2">
      <c r="A44" s="795"/>
      <c r="B44" s="795"/>
      <c r="C44" s="795"/>
      <c r="D44" s="795"/>
      <c r="E44" s="795"/>
      <c r="F44" s="795"/>
      <c r="G44" s="795"/>
      <c r="H44" s="795"/>
      <c r="I44" s="795"/>
      <c r="J44" s="795"/>
      <c r="K44" s="795"/>
      <c r="L44" s="795"/>
      <c r="M44" s="795"/>
      <c r="N44" s="795"/>
      <c r="O44" s="544"/>
    </row>
    <row r="45" spans="1:15" x14ac:dyDescent="0.2">
      <c r="A45" s="795"/>
      <c r="B45" s="795"/>
      <c r="C45" s="795"/>
      <c r="D45" s="795"/>
      <c r="E45" s="795"/>
      <c r="F45" s="795"/>
      <c r="G45" s="795"/>
      <c r="H45" s="795"/>
      <c r="I45" s="795"/>
      <c r="J45" s="795"/>
      <c r="K45" s="795"/>
      <c r="L45" s="795"/>
      <c r="M45" s="795"/>
      <c r="N45" s="795"/>
      <c r="O45" s="544"/>
    </row>
    <row r="46" spans="1:15" x14ac:dyDescent="0.2">
      <c r="A46" s="795"/>
      <c r="B46" s="795"/>
      <c r="C46" s="795"/>
      <c r="D46" s="795"/>
      <c r="E46" s="795"/>
      <c r="F46" s="795"/>
      <c r="G46" s="795"/>
      <c r="H46" s="795"/>
      <c r="I46" s="795"/>
      <c r="J46" s="795"/>
      <c r="K46" s="795"/>
      <c r="L46" s="795"/>
      <c r="M46" s="795"/>
      <c r="N46" s="795"/>
      <c r="O46" s="544"/>
    </row>
    <row r="47" spans="1:15" x14ac:dyDescent="0.2">
      <c r="A47" s="795"/>
      <c r="B47" s="795"/>
      <c r="C47" s="795"/>
      <c r="D47" s="795"/>
      <c r="E47" s="795"/>
      <c r="F47" s="795"/>
      <c r="G47" s="795"/>
      <c r="H47" s="795"/>
      <c r="I47" s="795"/>
      <c r="J47" s="795"/>
      <c r="K47" s="795"/>
      <c r="L47" s="795"/>
      <c r="M47" s="795"/>
      <c r="N47" s="795"/>
      <c r="O47" s="544"/>
    </row>
    <row r="48" spans="1:15" x14ac:dyDescent="0.2">
      <c r="A48" s="795"/>
      <c r="B48" s="795"/>
      <c r="C48" s="795"/>
      <c r="D48" s="795"/>
      <c r="E48" s="795"/>
      <c r="F48" s="795"/>
      <c r="G48" s="795"/>
      <c r="H48" s="795"/>
      <c r="I48" s="795"/>
      <c r="J48" s="795"/>
      <c r="K48" s="795"/>
      <c r="L48" s="795"/>
      <c r="M48" s="795"/>
      <c r="N48" s="795"/>
      <c r="O48" s="544"/>
    </row>
    <row r="49" spans="1:15" x14ac:dyDescent="0.2">
      <c r="A49" s="795"/>
      <c r="B49" s="795"/>
      <c r="C49" s="795"/>
      <c r="D49" s="795"/>
      <c r="E49" s="795"/>
      <c r="F49" s="795"/>
      <c r="G49" s="795"/>
      <c r="H49" s="795"/>
      <c r="I49" s="795"/>
      <c r="J49" s="795"/>
      <c r="K49" s="795"/>
      <c r="L49" s="795"/>
      <c r="M49" s="795"/>
      <c r="N49" s="795"/>
      <c r="O49" s="544"/>
    </row>
    <row r="50" spans="1:15" x14ac:dyDescent="0.2">
      <c r="A50" s="795"/>
      <c r="B50" s="795"/>
      <c r="C50" s="795"/>
      <c r="D50" s="795"/>
      <c r="E50" s="795"/>
      <c r="F50" s="795"/>
      <c r="G50" s="795"/>
      <c r="H50" s="795"/>
      <c r="I50" s="795"/>
      <c r="J50" s="795"/>
      <c r="K50" s="795"/>
      <c r="L50" s="795"/>
      <c r="M50" s="795"/>
      <c r="N50" s="795"/>
      <c r="O50" s="544"/>
    </row>
    <row r="51" spans="1:15" x14ac:dyDescent="0.2">
      <c r="A51" s="795"/>
      <c r="B51" s="795"/>
      <c r="C51" s="795"/>
      <c r="D51" s="795"/>
      <c r="E51" s="795"/>
      <c r="F51" s="795"/>
      <c r="G51" s="795"/>
      <c r="H51" s="795"/>
      <c r="I51" s="795"/>
      <c r="J51" s="795"/>
      <c r="K51" s="795"/>
      <c r="L51" s="795"/>
      <c r="M51" s="795"/>
      <c r="N51" s="795"/>
      <c r="O51" s="544"/>
    </row>
    <row r="52" spans="1:15" x14ac:dyDescent="0.2">
      <c r="A52" s="795"/>
      <c r="B52" s="795"/>
      <c r="C52" s="795"/>
      <c r="D52" s="795"/>
      <c r="E52" s="795"/>
      <c r="F52" s="795"/>
      <c r="G52" s="795"/>
      <c r="H52" s="795"/>
      <c r="I52" s="795"/>
      <c r="J52" s="795"/>
      <c r="K52" s="795"/>
      <c r="L52" s="795"/>
      <c r="M52" s="795"/>
      <c r="N52" s="795"/>
      <c r="O52" s="544"/>
    </row>
    <row r="53" spans="1:15" x14ac:dyDescent="0.2">
      <c r="A53" s="795"/>
      <c r="B53" s="795"/>
      <c r="C53" s="795"/>
      <c r="D53" s="795"/>
      <c r="E53" s="795"/>
      <c r="F53" s="795"/>
      <c r="G53" s="795"/>
      <c r="H53" s="795"/>
      <c r="I53" s="795"/>
      <c r="J53" s="795"/>
      <c r="K53" s="795"/>
      <c r="L53" s="795"/>
      <c r="M53" s="795"/>
      <c r="N53" s="795"/>
      <c r="O53" s="544"/>
    </row>
    <row r="54" spans="1:15" x14ac:dyDescent="0.2">
      <c r="A54" s="795"/>
      <c r="B54" s="795"/>
      <c r="C54" s="795"/>
      <c r="D54" s="795"/>
      <c r="E54" s="795"/>
      <c r="F54" s="795"/>
      <c r="G54" s="795"/>
      <c r="H54" s="795"/>
      <c r="I54" s="795"/>
      <c r="J54" s="795"/>
      <c r="K54" s="795"/>
      <c r="L54" s="795"/>
      <c r="M54" s="795"/>
      <c r="N54" s="795"/>
      <c r="O54" s="544"/>
    </row>
    <row r="55" spans="1:15" x14ac:dyDescent="0.2">
      <c r="A55" s="795"/>
      <c r="B55" s="795"/>
      <c r="C55" s="795"/>
      <c r="D55" s="795"/>
      <c r="E55" s="795"/>
      <c r="F55" s="795"/>
      <c r="G55" s="795"/>
      <c r="H55" s="795"/>
      <c r="I55" s="795"/>
      <c r="J55" s="795"/>
      <c r="K55" s="795"/>
      <c r="L55" s="795"/>
      <c r="M55" s="795"/>
      <c r="N55" s="795"/>
      <c r="O55" s="544"/>
    </row>
    <row r="56" spans="1:15" x14ac:dyDescent="0.2">
      <c r="A56" s="795"/>
      <c r="B56" s="795"/>
      <c r="C56" s="795"/>
      <c r="D56" s="795"/>
      <c r="E56" s="795"/>
      <c r="F56" s="795"/>
      <c r="G56" s="795"/>
      <c r="H56" s="795"/>
      <c r="I56" s="795"/>
      <c r="J56" s="795"/>
      <c r="K56" s="795"/>
      <c r="L56" s="795"/>
      <c r="M56" s="795"/>
      <c r="N56" s="795"/>
      <c r="O56" s="544"/>
    </row>
    <row r="57" spans="1:15" x14ac:dyDescent="0.2">
      <c r="A57" s="795"/>
      <c r="B57" s="795"/>
      <c r="C57" s="795"/>
      <c r="D57" s="795"/>
      <c r="E57" s="795"/>
      <c r="F57" s="795"/>
      <c r="G57" s="795"/>
      <c r="H57" s="795"/>
      <c r="I57" s="795"/>
      <c r="J57" s="795"/>
      <c r="K57" s="795"/>
      <c r="L57" s="795"/>
      <c r="M57" s="795"/>
      <c r="N57" s="795"/>
      <c r="O57" s="544"/>
    </row>
    <row r="58" spans="1:15" x14ac:dyDescent="0.2">
      <c r="A58" s="795"/>
      <c r="B58" s="795"/>
      <c r="C58" s="795"/>
      <c r="D58" s="795"/>
      <c r="E58" s="795"/>
      <c r="F58" s="795"/>
      <c r="G58" s="795"/>
      <c r="H58" s="795"/>
      <c r="I58" s="795"/>
      <c r="J58" s="795"/>
      <c r="K58" s="795"/>
      <c r="L58" s="795"/>
      <c r="M58" s="795"/>
      <c r="N58" s="795"/>
      <c r="O58" s="544"/>
    </row>
    <row r="59" spans="1:15" x14ac:dyDescent="0.2">
      <c r="A59" s="795"/>
      <c r="B59" s="795"/>
      <c r="C59" s="795"/>
      <c r="D59" s="795"/>
      <c r="E59" s="795"/>
      <c r="F59" s="795"/>
      <c r="G59" s="795"/>
      <c r="H59" s="795"/>
      <c r="I59" s="795"/>
      <c r="J59" s="795"/>
      <c r="K59" s="795"/>
      <c r="L59" s="795"/>
      <c r="M59" s="795"/>
      <c r="N59" s="795"/>
      <c r="O59" s="544"/>
    </row>
    <row r="60" spans="1:15" x14ac:dyDescent="0.2">
      <c r="A60" s="795"/>
      <c r="B60" s="795"/>
      <c r="C60" s="795"/>
      <c r="D60" s="795"/>
      <c r="E60" s="795"/>
      <c r="F60" s="795"/>
      <c r="G60" s="795"/>
      <c r="H60" s="795"/>
      <c r="I60" s="795"/>
      <c r="J60" s="795"/>
      <c r="K60" s="795"/>
      <c r="L60" s="795"/>
      <c r="M60" s="795"/>
      <c r="N60" s="795"/>
      <c r="O60" s="544"/>
    </row>
    <row r="61" spans="1:15" x14ac:dyDescent="0.2">
      <c r="A61" s="795"/>
      <c r="B61" s="795"/>
      <c r="C61" s="795"/>
      <c r="D61" s="795"/>
      <c r="E61" s="795"/>
      <c r="F61" s="795"/>
      <c r="G61" s="795"/>
      <c r="H61" s="795"/>
      <c r="I61" s="795"/>
      <c r="J61" s="795"/>
      <c r="K61" s="795"/>
      <c r="L61" s="795"/>
      <c r="M61" s="795"/>
      <c r="N61" s="795"/>
      <c r="O61" s="544"/>
    </row>
    <row r="62" spans="1:15" x14ac:dyDescent="0.2">
      <c r="A62" s="795"/>
      <c r="B62" s="795"/>
      <c r="C62" s="795"/>
      <c r="D62" s="795"/>
      <c r="E62" s="795"/>
      <c r="F62" s="795"/>
      <c r="G62" s="795"/>
      <c r="H62" s="795"/>
      <c r="I62" s="795"/>
      <c r="J62" s="795"/>
      <c r="K62" s="795"/>
      <c r="L62" s="795"/>
      <c r="M62" s="795"/>
      <c r="N62" s="795"/>
      <c r="O62" s="544"/>
    </row>
    <row r="63" spans="1:15" x14ac:dyDescent="0.2">
      <c r="A63" s="795"/>
      <c r="B63" s="795"/>
      <c r="C63" s="795"/>
      <c r="D63" s="795"/>
      <c r="E63" s="795"/>
      <c r="F63" s="795"/>
      <c r="G63" s="795"/>
      <c r="H63" s="795"/>
      <c r="I63" s="795"/>
      <c r="J63" s="795"/>
      <c r="K63" s="795"/>
      <c r="L63" s="795"/>
      <c r="M63" s="795"/>
      <c r="N63" s="795"/>
      <c r="O63" s="544"/>
    </row>
    <row r="64" spans="1:15" x14ac:dyDescent="0.2">
      <c r="A64" s="795"/>
      <c r="B64" s="795"/>
      <c r="C64" s="795"/>
      <c r="D64" s="795"/>
      <c r="E64" s="795"/>
      <c r="F64" s="795"/>
      <c r="G64" s="795"/>
      <c r="H64" s="795"/>
      <c r="I64" s="795"/>
      <c r="J64" s="795"/>
      <c r="K64" s="795"/>
      <c r="L64" s="795"/>
      <c r="M64" s="795"/>
      <c r="N64" s="795"/>
      <c r="O64" s="544"/>
    </row>
    <row r="65" spans="1:15" x14ac:dyDescent="0.2">
      <c r="A65" s="795"/>
      <c r="B65" s="795"/>
      <c r="C65" s="795"/>
      <c r="D65" s="795"/>
      <c r="E65" s="795"/>
      <c r="F65" s="795"/>
      <c r="G65" s="795"/>
      <c r="H65" s="795"/>
      <c r="I65" s="795"/>
      <c r="J65" s="795"/>
      <c r="K65" s="795"/>
      <c r="L65" s="795"/>
      <c r="M65" s="795"/>
      <c r="N65" s="795"/>
      <c r="O65" s="544"/>
    </row>
    <row r="66" spans="1:15" x14ac:dyDescent="0.2">
      <c r="A66" s="795"/>
      <c r="B66" s="795"/>
      <c r="C66" s="795"/>
      <c r="D66" s="795"/>
      <c r="E66" s="795"/>
      <c r="F66" s="795"/>
      <c r="G66" s="795"/>
      <c r="H66" s="795"/>
      <c r="I66" s="795"/>
      <c r="J66" s="795"/>
      <c r="K66" s="795"/>
      <c r="L66" s="795"/>
      <c r="M66" s="795"/>
      <c r="N66" s="795"/>
      <c r="O66" s="544"/>
    </row>
    <row r="67" spans="1:15" x14ac:dyDescent="0.2">
      <c r="A67" s="795"/>
      <c r="B67" s="795"/>
      <c r="C67" s="795"/>
      <c r="D67" s="795"/>
      <c r="E67" s="795"/>
      <c r="F67" s="795"/>
      <c r="G67" s="795"/>
      <c r="H67" s="795"/>
      <c r="I67" s="795"/>
      <c r="J67" s="795"/>
      <c r="K67" s="795"/>
      <c r="L67" s="795"/>
      <c r="M67" s="795"/>
      <c r="N67" s="795"/>
      <c r="O67" s="544"/>
    </row>
    <row r="68" spans="1:15" x14ac:dyDescent="0.2">
      <c r="A68" s="795"/>
      <c r="B68" s="795"/>
      <c r="C68" s="795"/>
      <c r="D68" s="795"/>
      <c r="E68" s="795"/>
      <c r="F68" s="795"/>
      <c r="G68" s="795"/>
      <c r="H68" s="795"/>
      <c r="I68" s="795"/>
      <c r="J68" s="795"/>
      <c r="K68" s="795"/>
      <c r="L68" s="795"/>
      <c r="M68" s="795"/>
      <c r="N68" s="795"/>
      <c r="O68" s="544"/>
    </row>
    <row r="69" spans="1:15" x14ac:dyDescent="0.2">
      <c r="A69" s="795"/>
      <c r="B69" s="795"/>
      <c r="C69" s="795"/>
      <c r="D69" s="795"/>
      <c r="E69" s="795"/>
      <c r="F69" s="795"/>
      <c r="G69" s="795"/>
      <c r="H69" s="795"/>
      <c r="I69" s="795"/>
      <c r="J69" s="795"/>
      <c r="K69" s="795"/>
      <c r="L69" s="795"/>
      <c r="M69" s="795"/>
      <c r="N69" s="795"/>
      <c r="O69" s="544"/>
    </row>
    <row r="70" spans="1:15" x14ac:dyDescent="0.2">
      <c r="A70" s="795"/>
      <c r="B70" s="795"/>
      <c r="C70" s="795"/>
      <c r="D70" s="795"/>
      <c r="E70" s="795"/>
      <c r="F70" s="795"/>
      <c r="G70" s="795"/>
      <c r="H70" s="795"/>
      <c r="I70" s="795"/>
      <c r="J70" s="795"/>
      <c r="K70" s="795"/>
      <c r="L70" s="795"/>
      <c r="M70" s="795"/>
      <c r="N70" s="795"/>
      <c r="O70" s="544"/>
    </row>
    <row r="71" spans="1:15" x14ac:dyDescent="0.2">
      <c r="A71" s="795"/>
      <c r="B71" s="795"/>
      <c r="C71" s="795"/>
      <c r="D71" s="795"/>
      <c r="E71" s="795"/>
      <c r="F71" s="795"/>
      <c r="G71" s="795"/>
      <c r="H71" s="795"/>
      <c r="I71" s="795"/>
      <c r="J71" s="795"/>
      <c r="K71" s="795"/>
      <c r="L71" s="795"/>
      <c r="M71" s="795"/>
      <c r="N71" s="795"/>
      <c r="O71" s="544"/>
    </row>
    <row r="72" spans="1:15" x14ac:dyDescent="0.2">
      <c r="A72" s="795"/>
      <c r="B72" s="795"/>
      <c r="C72" s="795"/>
      <c r="D72" s="795"/>
      <c r="E72" s="795"/>
      <c r="F72" s="795"/>
      <c r="G72" s="795"/>
      <c r="H72" s="795"/>
      <c r="I72" s="795"/>
      <c r="J72" s="795"/>
      <c r="K72" s="795"/>
      <c r="L72" s="795"/>
      <c r="M72" s="795"/>
      <c r="N72" s="795"/>
      <c r="O72" s="544"/>
    </row>
    <row r="73" spans="1:15" x14ac:dyDescent="0.2">
      <c r="A73" s="795"/>
      <c r="B73" s="795"/>
      <c r="C73" s="795"/>
      <c r="D73" s="795"/>
      <c r="E73" s="795"/>
      <c r="F73" s="795"/>
      <c r="G73" s="795"/>
      <c r="H73" s="795"/>
      <c r="I73" s="795"/>
      <c r="J73" s="795"/>
      <c r="K73" s="795"/>
      <c r="L73" s="795"/>
      <c r="M73" s="795"/>
      <c r="N73" s="795"/>
      <c r="O73" s="544"/>
    </row>
    <row r="74" spans="1:15" x14ac:dyDescent="0.2">
      <c r="A74" s="795"/>
      <c r="B74" s="795"/>
      <c r="C74" s="795"/>
      <c r="D74" s="795"/>
      <c r="E74" s="795"/>
      <c r="F74" s="795"/>
      <c r="G74" s="795"/>
      <c r="H74" s="795"/>
      <c r="I74" s="795"/>
      <c r="J74" s="795"/>
      <c r="K74" s="795"/>
      <c r="L74" s="795"/>
      <c r="M74" s="795"/>
      <c r="N74" s="795"/>
      <c r="O74" s="544"/>
    </row>
    <row r="75" spans="1:15" x14ac:dyDescent="0.2">
      <c r="A75" s="795"/>
      <c r="B75" s="795"/>
      <c r="C75" s="795"/>
      <c r="D75" s="795"/>
      <c r="E75" s="795"/>
      <c r="F75" s="795"/>
      <c r="G75" s="795"/>
      <c r="H75" s="795"/>
      <c r="I75" s="795"/>
      <c r="J75" s="795"/>
      <c r="K75" s="795"/>
      <c r="L75" s="795"/>
      <c r="M75" s="795"/>
      <c r="N75" s="795"/>
      <c r="O75" s="544"/>
    </row>
    <row r="76" spans="1:15" x14ac:dyDescent="0.2">
      <c r="A76" s="795"/>
      <c r="B76" s="795"/>
      <c r="C76" s="795"/>
      <c r="D76" s="795"/>
      <c r="E76" s="795"/>
      <c r="F76" s="795"/>
      <c r="G76" s="795"/>
      <c r="H76" s="795"/>
      <c r="I76" s="795"/>
      <c r="J76" s="795"/>
      <c r="K76" s="795"/>
      <c r="L76" s="795"/>
      <c r="M76" s="795"/>
      <c r="N76" s="795"/>
      <c r="O76" s="544"/>
    </row>
    <row r="77" spans="1:15" x14ac:dyDescent="0.2">
      <c r="A77" s="795"/>
      <c r="B77" s="795"/>
      <c r="C77" s="795"/>
      <c r="D77" s="795"/>
      <c r="E77" s="795"/>
      <c r="F77" s="795"/>
      <c r="G77" s="795"/>
      <c r="H77" s="795"/>
      <c r="I77" s="795"/>
      <c r="J77" s="795"/>
      <c r="K77" s="795"/>
      <c r="L77" s="795"/>
      <c r="M77" s="795"/>
      <c r="N77" s="795"/>
      <c r="O77" s="544"/>
    </row>
    <row r="78" spans="1:15" x14ac:dyDescent="0.2">
      <c r="A78" s="795"/>
      <c r="B78" s="795"/>
      <c r="C78" s="795"/>
      <c r="D78" s="795"/>
      <c r="E78" s="795"/>
      <c r="F78" s="795"/>
      <c r="G78" s="795"/>
      <c r="H78" s="795"/>
      <c r="I78" s="795"/>
      <c r="J78" s="795"/>
      <c r="K78" s="795"/>
      <c r="L78" s="795"/>
      <c r="M78" s="795"/>
      <c r="N78" s="795"/>
      <c r="O78" s="544"/>
    </row>
    <row r="79" spans="1:15" x14ac:dyDescent="0.2">
      <c r="A79" s="795"/>
      <c r="B79" s="795"/>
      <c r="C79" s="795"/>
      <c r="D79" s="795"/>
      <c r="E79" s="795"/>
      <c r="F79" s="795"/>
      <c r="G79" s="795"/>
      <c r="H79" s="795"/>
      <c r="I79" s="795"/>
      <c r="J79" s="795"/>
      <c r="K79" s="795"/>
      <c r="L79" s="795"/>
      <c r="M79" s="795"/>
      <c r="N79" s="795"/>
      <c r="O79" s="544"/>
    </row>
    <row r="80" spans="1:15" x14ac:dyDescent="0.2">
      <c r="A80" s="795"/>
      <c r="B80" s="795"/>
      <c r="C80" s="795"/>
      <c r="D80" s="795"/>
      <c r="E80" s="795"/>
      <c r="F80" s="795"/>
      <c r="G80" s="795"/>
      <c r="H80" s="795"/>
      <c r="I80" s="795"/>
      <c r="J80" s="795"/>
      <c r="K80" s="795"/>
      <c r="L80" s="795"/>
      <c r="M80" s="795"/>
      <c r="N80" s="795"/>
      <c r="O80" s="544"/>
    </row>
    <row r="81" spans="1:15" x14ac:dyDescent="0.2">
      <c r="A81" s="795"/>
      <c r="B81" s="795"/>
      <c r="C81" s="795"/>
      <c r="D81" s="795"/>
      <c r="E81" s="795"/>
      <c r="F81" s="795"/>
      <c r="G81" s="795"/>
      <c r="H81" s="795"/>
      <c r="I81" s="795"/>
      <c r="J81" s="795"/>
      <c r="K81" s="795"/>
      <c r="L81" s="795"/>
      <c r="M81" s="795"/>
      <c r="N81" s="795"/>
      <c r="O81" s="544"/>
    </row>
    <row r="82" spans="1:15" x14ac:dyDescent="0.2">
      <c r="A82" s="795"/>
      <c r="B82" s="795"/>
      <c r="C82" s="795"/>
      <c r="D82" s="795"/>
      <c r="E82" s="795"/>
      <c r="F82" s="795"/>
      <c r="G82" s="795"/>
      <c r="H82" s="795"/>
      <c r="I82" s="795"/>
      <c r="J82" s="795"/>
      <c r="K82" s="795"/>
      <c r="L82" s="795"/>
      <c r="M82" s="795"/>
      <c r="N82" s="795"/>
      <c r="O82" s="544"/>
    </row>
    <row r="83" spans="1:15" x14ac:dyDescent="0.2">
      <c r="A83" s="795"/>
      <c r="B83" s="795"/>
      <c r="C83" s="795"/>
      <c r="D83" s="795"/>
      <c r="E83" s="795"/>
      <c r="F83" s="795"/>
      <c r="G83" s="795"/>
      <c r="H83" s="795"/>
      <c r="I83" s="795"/>
      <c r="J83" s="795"/>
      <c r="K83" s="795"/>
      <c r="L83" s="795"/>
      <c r="M83" s="795"/>
      <c r="N83" s="795"/>
      <c r="O83" s="544"/>
    </row>
    <row r="84" spans="1:15" x14ac:dyDescent="0.2">
      <c r="A84" s="795"/>
      <c r="B84" s="795"/>
      <c r="C84" s="795"/>
      <c r="D84" s="795"/>
      <c r="E84" s="795"/>
      <c r="F84" s="795"/>
      <c r="G84" s="795"/>
      <c r="H84" s="795"/>
      <c r="I84" s="795"/>
      <c r="J84" s="795"/>
      <c r="K84" s="795"/>
      <c r="L84" s="795"/>
      <c r="M84" s="795"/>
      <c r="N84" s="795"/>
      <c r="O84" s="544"/>
    </row>
    <row r="85" spans="1:15" x14ac:dyDescent="0.2">
      <c r="A85" s="795"/>
      <c r="B85" s="795"/>
      <c r="C85" s="795"/>
      <c r="D85" s="795"/>
      <c r="E85" s="795"/>
      <c r="F85" s="795"/>
      <c r="G85" s="795"/>
      <c r="H85" s="795"/>
      <c r="I85" s="795"/>
      <c r="J85" s="795"/>
      <c r="K85" s="795"/>
      <c r="L85" s="795"/>
      <c r="M85" s="795"/>
      <c r="N85" s="795"/>
      <c r="O85" s="544"/>
    </row>
    <row r="86" spans="1:15" x14ac:dyDescent="0.2">
      <c r="A86" s="795"/>
      <c r="B86" s="795"/>
      <c r="C86" s="795"/>
      <c r="D86" s="795"/>
      <c r="E86" s="795"/>
      <c r="F86" s="795"/>
      <c r="G86" s="795"/>
      <c r="H86" s="795"/>
      <c r="I86" s="795"/>
      <c r="J86" s="795"/>
      <c r="K86" s="795"/>
      <c r="L86" s="795"/>
      <c r="M86" s="795"/>
      <c r="N86" s="795"/>
      <c r="O86" s="544"/>
    </row>
    <row r="87" spans="1:15" x14ac:dyDescent="0.2">
      <c r="A87" s="795"/>
      <c r="B87" s="795"/>
      <c r="C87" s="795"/>
      <c r="D87" s="795"/>
      <c r="E87" s="795"/>
      <c r="F87" s="795"/>
      <c r="G87" s="795"/>
      <c r="H87" s="795"/>
      <c r="I87" s="795"/>
      <c r="J87" s="795"/>
      <c r="K87" s="795"/>
      <c r="L87" s="795"/>
      <c r="M87" s="795"/>
      <c r="N87" s="795"/>
      <c r="O87" s="544"/>
    </row>
    <row r="88" spans="1:15" x14ac:dyDescent="0.2">
      <c r="A88" s="795"/>
      <c r="B88" s="795"/>
      <c r="C88" s="795"/>
      <c r="D88" s="795"/>
      <c r="E88" s="795"/>
      <c r="F88" s="795"/>
      <c r="G88" s="795"/>
      <c r="H88" s="795"/>
      <c r="I88" s="795"/>
      <c r="J88" s="795"/>
      <c r="K88" s="795"/>
      <c r="L88" s="795"/>
      <c r="M88" s="795"/>
      <c r="N88" s="795"/>
      <c r="O88" s="544"/>
    </row>
    <row r="89" spans="1:15" x14ac:dyDescent="0.2">
      <c r="A89" s="795"/>
      <c r="B89" s="795"/>
      <c r="C89" s="795"/>
      <c r="D89" s="795"/>
      <c r="E89" s="795"/>
      <c r="F89" s="795"/>
      <c r="G89" s="795"/>
      <c r="H89" s="795"/>
      <c r="I89" s="795"/>
      <c r="J89" s="795"/>
      <c r="K89" s="795"/>
      <c r="L89" s="795"/>
      <c r="M89" s="795"/>
      <c r="N89" s="795"/>
      <c r="O89" s="544"/>
    </row>
    <row r="90" spans="1:15" x14ac:dyDescent="0.2">
      <c r="A90" s="795"/>
      <c r="B90" s="795"/>
      <c r="C90" s="795"/>
      <c r="D90" s="795"/>
      <c r="E90" s="795"/>
      <c r="F90" s="795"/>
      <c r="G90" s="795"/>
      <c r="H90" s="795"/>
      <c r="I90" s="795"/>
      <c r="J90" s="795"/>
      <c r="K90" s="795"/>
      <c r="L90" s="795"/>
      <c r="M90" s="795"/>
      <c r="N90" s="795"/>
      <c r="O90" s="544"/>
    </row>
    <row r="91" spans="1:15" x14ac:dyDescent="0.2">
      <c r="A91" s="795"/>
      <c r="B91" s="795"/>
      <c r="C91" s="795"/>
      <c r="D91" s="795"/>
      <c r="E91" s="795"/>
      <c r="F91" s="795"/>
      <c r="G91" s="795"/>
      <c r="H91" s="795"/>
      <c r="I91" s="795"/>
      <c r="J91" s="795"/>
      <c r="K91" s="795"/>
      <c r="L91" s="795"/>
      <c r="M91" s="795"/>
      <c r="N91" s="795"/>
      <c r="O91" s="544"/>
    </row>
    <row r="92" spans="1:15" x14ac:dyDescent="0.2">
      <c r="A92" s="795"/>
      <c r="B92" s="795"/>
      <c r="C92" s="795"/>
      <c r="D92" s="795"/>
      <c r="E92" s="795"/>
      <c r="F92" s="795"/>
      <c r="G92" s="795"/>
      <c r="H92" s="795"/>
      <c r="I92" s="795"/>
      <c r="J92" s="795"/>
      <c r="K92" s="795"/>
      <c r="L92" s="795"/>
      <c r="M92" s="795"/>
      <c r="N92" s="795"/>
      <c r="O92" s="544"/>
    </row>
    <row r="93" spans="1:15" x14ac:dyDescent="0.2">
      <c r="A93" s="795"/>
      <c r="B93" s="795"/>
      <c r="C93" s="795"/>
      <c r="D93" s="795"/>
      <c r="E93" s="795"/>
      <c r="F93" s="795"/>
      <c r="G93" s="795"/>
      <c r="H93" s="795"/>
      <c r="I93" s="795"/>
      <c r="J93" s="795"/>
      <c r="K93" s="795"/>
      <c r="L93" s="795"/>
      <c r="M93" s="795"/>
      <c r="N93" s="795"/>
      <c r="O93" s="544"/>
    </row>
    <row r="94" spans="1:15" x14ac:dyDescent="0.2">
      <c r="A94" s="795"/>
      <c r="B94" s="795"/>
      <c r="C94" s="795"/>
      <c r="D94" s="795"/>
      <c r="E94" s="795"/>
      <c r="F94" s="795"/>
      <c r="G94" s="795"/>
      <c r="H94" s="795"/>
      <c r="I94" s="795"/>
      <c r="J94" s="795"/>
      <c r="K94" s="795"/>
      <c r="L94" s="795"/>
      <c r="M94" s="795"/>
      <c r="N94" s="795"/>
      <c r="O94" s="544"/>
    </row>
    <row r="95" spans="1:15" x14ac:dyDescent="0.2">
      <c r="A95" s="795"/>
      <c r="B95" s="795"/>
      <c r="C95" s="795"/>
      <c r="D95" s="795"/>
      <c r="E95" s="795"/>
      <c r="F95" s="795"/>
      <c r="G95" s="795"/>
      <c r="H95" s="795"/>
      <c r="I95" s="795"/>
      <c r="J95" s="795"/>
      <c r="K95" s="795"/>
      <c r="L95" s="795"/>
      <c r="M95" s="795"/>
      <c r="N95" s="795"/>
      <c r="O95" s="544"/>
    </row>
    <row r="96" spans="1:15" x14ac:dyDescent="0.2">
      <c r="A96" s="795"/>
      <c r="B96" s="795"/>
      <c r="C96" s="795"/>
      <c r="D96" s="795"/>
      <c r="E96" s="795"/>
      <c r="F96" s="795"/>
      <c r="G96" s="795"/>
      <c r="H96" s="795"/>
      <c r="I96" s="795"/>
      <c r="J96" s="795"/>
      <c r="K96" s="795"/>
      <c r="L96" s="795"/>
      <c r="M96" s="795"/>
      <c r="N96" s="795"/>
      <c r="O96" s="544"/>
    </row>
    <row r="97" spans="1:15" x14ac:dyDescent="0.2">
      <c r="A97" s="795"/>
      <c r="B97" s="795"/>
      <c r="C97" s="795"/>
      <c r="D97" s="795"/>
      <c r="E97" s="795"/>
      <c r="F97" s="795"/>
      <c r="G97" s="795"/>
      <c r="H97" s="795"/>
      <c r="I97" s="795"/>
      <c r="J97" s="795"/>
      <c r="K97" s="795"/>
      <c r="L97" s="795"/>
      <c r="M97" s="795"/>
      <c r="N97" s="795"/>
      <c r="O97" s="544"/>
    </row>
    <row r="98" spans="1:15" x14ac:dyDescent="0.2">
      <c r="A98" s="795"/>
      <c r="B98" s="795"/>
      <c r="C98" s="795"/>
      <c r="D98" s="795"/>
      <c r="E98" s="795"/>
      <c r="F98" s="795"/>
      <c r="G98" s="795"/>
      <c r="H98" s="795"/>
      <c r="I98" s="795"/>
      <c r="J98" s="795"/>
      <c r="K98" s="795"/>
      <c r="L98" s="795"/>
      <c r="M98" s="795"/>
      <c r="N98" s="795"/>
      <c r="O98" s="544"/>
    </row>
    <row r="99" spans="1:15" x14ac:dyDescent="0.2">
      <c r="A99" s="795"/>
      <c r="B99" s="795"/>
      <c r="C99" s="795"/>
      <c r="D99" s="795"/>
      <c r="E99" s="795"/>
      <c r="F99" s="795"/>
      <c r="G99" s="795"/>
      <c r="H99" s="795"/>
      <c r="I99" s="795"/>
      <c r="J99" s="795"/>
      <c r="K99" s="795"/>
      <c r="L99" s="795"/>
      <c r="M99" s="795"/>
      <c r="N99" s="795"/>
      <c r="O99" s="544"/>
    </row>
    <row r="100" spans="1:15" x14ac:dyDescent="0.2">
      <c r="A100" s="795"/>
      <c r="B100" s="795"/>
      <c r="C100" s="795"/>
      <c r="D100" s="795"/>
      <c r="E100" s="795"/>
      <c r="F100" s="795"/>
      <c r="G100" s="795"/>
      <c r="H100" s="795"/>
      <c r="I100" s="795"/>
      <c r="J100" s="795"/>
      <c r="K100" s="795"/>
      <c r="L100" s="795"/>
      <c r="M100" s="795"/>
      <c r="N100" s="795"/>
      <c r="O100" s="544"/>
    </row>
    <row r="101" spans="1:15" x14ac:dyDescent="0.2">
      <c r="A101" s="795"/>
      <c r="B101" s="795"/>
      <c r="C101" s="795"/>
      <c r="D101" s="795"/>
      <c r="E101" s="795"/>
      <c r="F101" s="795"/>
      <c r="G101" s="795"/>
      <c r="H101" s="795"/>
      <c r="I101" s="795"/>
      <c r="J101" s="795"/>
      <c r="K101" s="795"/>
      <c r="L101" s="795"/>
      <c r="M101" s="795"/>
      <c r="N101" s="795"/>
      <c r="O101" s="544"/>
    </row>
    <row r="102" spans="1:15" x14ac:dyDescent="0.2">
      <c r="A102" s="795"/>
      <c r="B102" s="795"/>
      <c r="C102" s="795"/>
      <c r="D102" s="795"/>
      <c r="E102" s="795"/>
      <c r="F102" s="795"/>
      <c r="G102" s="795"/>
      <c r="H102" s="795"/>
      <c r="I102" s="795"/>
      <c r="J102" s="795"/>
      <c r="K102" s="795"/>
      <c r="L102" s="795"/>
      <c r="M102" s="795"/>
      <c r="N102" s="795"/>
      <c r="O102" s="544"/>
    </row>
    <row r="103" spans="1:15" x14ac:dyDescent="0.2">
      <c r="A103" s="795"/>
      <c r="B103" s="795"/>
      <c r="C103" s="795"/>
      <c r="D103" s="795"/>
      <c r="E103" s="795"/>
      <c r="F103" s="795"/>
      <c r="G103" s="795"/>
      <c r="H103" s="795"/>
      <c r="I103" s="795"/>
      <c r="J103" s="795"/>
      <c r="K103" s="795"/>
      <c r="L103" s="795"/>
      <c r="M103" s="795"/>
      <c r="N103" s="795"/>
      <c r="O103" s="544"/>
    </row>
    <row r="104" spans="1:15" x14ac:dyDescent="0.2">
      <c r="A104" s="795"/>
      <c r="B104" s="795"/>
      <c r="C104" s="795"/>
      <c r="D104" s="795"/>
      <c r="E104" s="795"/>
      <c r="F104" s="795"/>
      <c r="G104" s="795"/>
      <c r="H104" s="795"/>
      <c r="I104" s="795"/>
      <c r="J104" s="795"/>
      <c r="K104" s="795"/>
      <c r="L104" s="795"/>
      <c r="M104" s="795"/>
      <c r="N104" s="795"/>
      <c r="O104" s="544"/>
    </row>
    <row r="105" spans="1:15" x14ac:dyDescent="0.2">
      <c r="A105" s="795"/>
      <c r="B105" s="795"/>
      <c r="C105" s="795"/>
      <c r="D105" s="795"/>
      <c r="E105" s="795"/>
      <c r="F105" s="795"/>
      <c r="G105" s="795"/>
      <c r="H105" s="795"/>
      <c r="I105" s="795"/>
      <c r="J105" s="795"/>
      <c r="K105" s="795"/>
      <c r="L105" s="795"/>
      <c r="M105" s="795"/>
      <c r="N105" s="795"/>
      <c r="O105" s="544"/>
    </row>
    <row r="106" spans="1:15" x14ac:dyDescent="0.2">
      <c r="A106" s="795"/>
      <c r="B106" s="795"/>
      <c r="C106" s="795"/>
      <c r="D106" s="795"/>
      <c r="E106" s="795"/>
      <c r="F106" s="795"/>
      <c r="G106" s="795"/>
      <c r="H106" s="795"/>
      <c r="I106" s="795"/>
      <c r="J106" s="795"/>
      <c r="K106" s="795"/>
      <c r="L106" s="795"/>
      <c r="M106" s="795"/>
      <c r="N106" s="795"/>
      <c r="O106" s="544"/>
    </row>
    <row r="107" spans="1:15" x14ac:dyDescent="0.2">
      <c r="A107" s="795"/>
      <c r="B107" s="795"/>
      <c r="C107" s="795"/>
      <c r="D107" s="795"/>
      <c r="E107" s="795"/>
      <c r="F107" s="795"/>
      <c r="G107" s="795"/>
      <c r="H107" s="795"/>
      <c r="I107" s="795"/>
      <c r="J107" s="795"/>
      <c r="K107" s="795"/>
      <c r="L107" s="795"/>
      <c r="M107" s="795"/>
      <c r="N107" s="795"/>
      <c r="O107" s="544"/>
    </row>
    <row r="108" spans="1:15" x14ac:dyDescent="0.2">
      <c r="A108" s="795"/>
      <c r="B108" s="795"/>
      <c r="C108" s="795"/>
      <c r="D108" s="795"/>
      <c r="E108" s="795"/>
      <c r="F108" s="795"/>
      <c r="G108" s="795"/>
      <c r="H108" s="795"/>
      <c r="I108" s="795"/>
      <c r="J108" s="795"/>
      <c r="K108" s="795"/>
      <c r="L108" s="795"/>
      <c r="M108" s="795"/>
      <c r="N108" s="795"/>
      <c r="O108" s="544"/>
    </row>
    <row r="109" spans="1:15" x14ac:dyDescent="0.2">
      <c r="A109" s="795"/>
      <c r="B109" s="795"/>
      <c r="C109" s="795"/>
      <c r="D109" s="795"/>
      <c r="E109" s="795"/>
      <c r="F109" s="795"/>
      <c r="G109" s="795"/>
      <c r="H109" s="795"/>
      <c r="I109" s="795"/>
      <c r="J109" s="795"/>
      <c r="K109" s="795"/>
      <c r="L109" s="795"/>
      <c r="M109" s="795"/>
      <c r="N109" s="795"/>
      <c r="O109" s="544"/>
    </row>
    <row r="110" spans="1:15" x14ac:dyDescent="0.2">
      <c r="A110" s="795"/>
      <c r="B110" s="795"/>
      <c r="C110" s="795"/>
      <c r="D110" s="795"/>
      <c r="E110" s="795"/>
      <c r="F110" s="795"/>
      <c r="G110" s="795"/>
      <c r="H110" s="795"/>
      <c r="I110" s="795"/>
      <c r="J110" s="795"/>
      <c r="K110" s="795"/>
      <c r="L110" s="795"/>
      <c r="M110" s="795"/>
      <c r="N110" s="795"/>
      <c r="O110" s="544"/>
    </row>
    <row r="111" spans="1:15" x14ac:dyDescent="0.2">
      <c r="A111" s="795"/>
      <c r="B111" s="795"/>
      <c r="C111" s="795"/>
      <c r="D111" s="795"/>
      <c r="E111" s="795"/>
      <c r="F111" s="795"/>
      <c r="G111" s="795"/>
      <c r="H111" s="795"/>
      <c r="I111" s="795"/>
      <c r="J111" s="795"/>
      <c r="K111" s="795"/>
      <c r="L111" s="795"/>
      <c r="M111" s="795"/>
      <c r="N111" s="795"/>
      <c r="O111" s="544"/>
    </row>
    <row r="112" spans="1:15" x14ac:dyDescent="0.2">
      <c r="A112" s="795"/>
      <c r="B112" s="795"/>
      <c r="C112" s="795"/>
      <c r="D112" s="795"/>
      <c r="E112" s="795"/>
      <c r="F112" s="795"/>
      <c r="G112" s="795"/>
      <c r="H112" s="795"/>
      <c r="I112" s="795"/>
      <c r="J112" s="795"/>
      <c r="K112" s="795"/>
      <c r="L112" s="795"/>
      <c r="M112" s="795"/>
      <c r="N112" s="795"/>
      <c r="O112" s="544"/>
    </row>
    <row r="113" spans="1:15" x14ac:dyDescent="0.2">
      <c r="A113" s="795"/>
      <c r="B113" s="795"/>
      <c r="C113" s="795"/>
      <c r="D113" s="795"/>
      <c r="E113" s="795"/>
      <c r="F113" s="795"/>
      <c r="G113" s="795"/>
      <c r="H113" s="795"/>
      <c r="I113" s="795"/>
      <c r="J113" s="795"/>
      <c r="K113" s="795"/>
      <c r="L113" s="795"/>
      <c r="M113" s="795"/>
      <c r="N113" s="795"/>
      <c r="O113" s="544"/>
    </row>
    <row r="114" spans="1:15" x14ac:dyDescent="0.2">
      <c r="A114" s="795"/>
      <c r="B114" s="795"/>
      <c r="C114" s="795"/>
      <c r="D114" s="795"/>
      <c r="E114" s="795"/>
      <c r="F114" s="795"/>
      <c r="G114" s="795"/>
      <c r="H114" s="795"/>
      <c r="I114" s="795"/>
      <c r="J114" s="795"/>
      <c r="K114" s="795"/>
      <c r="L114" s="795"/>
      <c r="M114" s="795"/>
      <c r="N114" s="795"/>
      <c r="O114" s="544"/>
    </row>
    <row r="115" spans="1:15" x14ac:dyDescent="0.2">
      <c r="A115" s="795"/>
      <c r="B115" s="795"/>
      <c r="C115" s="795"/>
      <c r="D115" s="795"/>
      <c r="E115" s="795"/>
      <c r="F115" s="795"/>
      <c r="G115" s="795"/>
      <c r="H115" s="795"/>
      <c r="I115" s="795"/>
      <c r="J115" s="795"/>
      <c r="K115" s="795"/>
      <c r="L115" s="795"/>
      <c r="M115" s="795"/>
      <c r="N115" s="795"/>
      <c r="O115" s="544"/>
    </row>
    <row r="116" spans="1:15" x14ac:dyDescent="0.2">
      <c r="A116" s="795"/>
      <c r="B116" s="795"/>
      <c r="C116" s="795"/>
      <c r="D116" s="795"/>
      <c r="E116" s="795"/>
      <c r="F116" s="795"/>
      <c r="G116" s="795"/>
      <c r="H116" s="795"/>
      <c r="I116" s="795"/>
      <c r="J116" s="795"/>
      <c r="K116" s="795"/>
      <c r="L116" s="795"/>
      <c r="M116" s="795"/>
      <c r="N116" s="795"/>
      <c r="O116" s="544"/>
    </row>
    <row r="117" spans="1:15" x14ac:dyDescent="0.2">
      <c r="A117" s="795"/>
      <c r="B117" s="795"/>
      <c r="C117" s="795"/>
      <c r="D117" s="795"/>
      <c r="E117" s="795"/>
      <c r="F117" s="795"/>
      <c r="G117" s="795"/>
      <c r="H117" s="795"/>
      <c r="I117" s="795"/>
      <c r="J117" s="795"/>
      <c r="K117" s="795"/>
      <c r="L117" s="795"/>
      <c r="M117" s="795"/>
      <c r="N117" s="795"/>
      <c r="O117" s="544"/>
    </row>
    <row r="118" spans="1:15" x14ac:dyDescent="0.2">
      <c r="A118" s="795"/>
      <c r="B118" s="795"/>
      <c r="C118" s="795"/>
      <c r="D118" s="795"/>
      <c r="E118" s="795"/>
      <c r="F118" s="795"/>
      <c r="G118" s="795"/>
      <c r="H118" s="795"/>
      <c r="I118" s="795"/>
      <c r="J118" s="795"/>
      <c r="K118" s="795"/>
      <c r="L118" s="795"/>
      <c r="M118" s="795"/>
      <c r="N118" s="795"/>
      <c r="O118" s="544"/>
    </row>
    <row r="119" spans="1:15" x14ac:dyDescent="0.2">
      <c r="A119" s="795"/>
      <c r="B119" s="795"/>
      <c r="C119" s="795"/>
      <c r="D119" s="795"/>
      <c r="E119" s="795"/>
      <c r="F119" s="795"/>
      <c r="G119" s="795"/>
      <c r="H119" s="795"/>
      <c r="I119" s="795"/>
      <c r="J119" s="795"/>
      <c r="K119" s="795"/>
      <c r="L119" s="795"/>
      <c r="M119" s="795"/>
      <c r="N119" s="795"/>
      <c r="O119" s="544"/>
    </row>
    <row r="120" spans="1:15" x14ac:dyDescent="0.2">
      <c r="A120" s="795"/>
      <c r="B120" s="795"/>
      <c r="C120" s="795"/>
      <c r="D120" s="795"/>
      <c r="E120" s="795"/>
      <c r="F120" s="795"/>
      <c r="G120" s="795"/>
      <c r="H120" s="795"/>
      <c r="I120" s="795"/>
      <c r="J120" s="795"/>
      <c r="K120" s="795"/>
      <c r="L120" s="795"/>
      <c r="M120" s="795"/>
      <c r="N120" s="795"/>
      <c r="O120" s="544"/>
    </row>
    <row r="121" spans="1:15" x14ac:dyDescent="0.2">
      <c r="A121" s="795"/>
      <c r="B121" s="795"/>
      <c r="C121" s="795"/>
      <c r="D121" s="795"/>
      <c r="E121" s="795"/>
      <c r="F121" s="795"/>
      <c r="G121" s="795"/>
      <c r="H121" s="795"/>
      <c r="I121" s="795"/>
      <c r="J121" s="795"/>
      <c r="K121" s="795"/>
      <c r="L121" s="795"/>
      <c r="M121" s="795"/>
      <c r="N121" s="795"/>
      <c r="O121" s="544"/>
    </row>
    <row r="122" spans="1:15" x14ac:dyDescent="0.2">
      <c r="A122" s="795"/>
      <c r="B122" s="795"/>
      <c r="C122" s="795"/>
      <c r="D122" s="795"/>
      <c r="E122" s="795"/>
      <c r="F122" s="795"/>
      <c r="G122" s="795"/>
      <c r="H122" s="795"/>
      <c r="I122" s="795"/>
      <c r="J122" s="795"/>
      <c r="K122" s="795"/>
      <c r="L122" s="795"/>
      <c r="M122" s="795"/>
      <c r="N122" s="795"/>
      <c r="O122" s="544"/>
    </row>
    <row r="123" spans="1:15" x14ac:dyDescent="0.2">
      <c r="A123" s="795"/>
      <c r="B123" s="795"/>
      <c r="C123" s="795"/>
      <c r="D123" s="795"/>
      <c r="E123" s="795"/>
      <c r="F123" s="795"/>
      <c r="G123" s="795"/>
      <c r="H123" s="795"/>
      <c r="I123" s="795"/>
      <c r="J123" s="795"/>
      <c r="K123" s="795"/>
      <c r="L123" s="795"/>
      <c r="M123" s="795"/>
      <c r="N123" s="795"/>
      <c r="O123" s="544"/>
    </row>
    <row r="124" spans="1:15" x14ac:dyDescent="0.2">
      <c r="A124" s="795"/>
      <c r="B124" s="795"/>
      <c r="C124" s="795"/>
      <c r="D124" s="795"/>
      <c r="E124" s="795"/>
      <c r="F124" s="795"/>
      <c r="G124" s="795"/>
      <c r="H124" s="795"/>
      <c r="I124" s="795"/>
      <c r="J124" s="795"/>
      <c r="K124" s="795"/>
      <c r="L124" s="795"/>
      <c r="M124" s="795"/>
      <c r="N124" s="795"/>
      <c r="O124" s="544"/>
    </row>
    <row r="125" spans="1:15" x14ac:dyDescent="0.2">
      <c r="A125" s="795"/>
      <c r="B125" s="795"/>
      <c r="C125" s="795"/>
      <c r="D125" s="795"/>
      <c r="E125" s="795"/>
      <c r="F125" s="795"/>
      <c r="G125" s="795"/>
      <c r="H125" s="795"/>
      <c r="I125" s="795"/>
      <c r="J125" s="795"/>
      <c r="K125" s="795"/>
      <c r="L125" s="795"/>
      <c r="M125" s="795"/>
      <c r="N125" s="795"/>
      <c r="O125" s="544"/>
    </row>
    <row r="126" spans="1:15" x14ac:dyDescent="0.2">
      <c r="A126" s="795"/>
      <c r="B126" s="795"/>
      <c r="C126" s="795"/>
      <c r="D126" s="795"/>
      <c r="E126" s="795"/>
      <c r="F126" s="795"/>
      <c r="G126" s="795"/>
      <c r="H126" s="795"/>
      <c r="I126" s="795"/>
      <c r="J126" s="795"/>
      <c r="K126" s="795"/>
      <c r="L126" s="795"/>
      <c r="M126" s="795"/>
      <c r="N126" s="795"/>
      <c r="O126" s="544"/>
    </row>
    <row r="127" spans="1:15" x14ac:dyDescent="0.2">
      <c r="A127" s="795"/>
      <c r="B127" s="795"/>
      <c r="C127" s="795"/>
      <c r="D127" s="795"/>
      <c r="E127" s="795"/>
      <c r="F127" s="795"/>
      <c r="G127" s="795"/>
      <c r="H127" s="795"/>
      <c r="I127" s="795"/>
      <c r="J127" s="795"/>
      <c r="K127" s="795"/>
      <c r="L127" s="795"/>
      <c r="M127" s="795"/>
      <c r="N127" s="795"/>
      <c r="O127" s="544"/>
    </row>
    <row r="128" spans="1:15" x14ac:dyDescent="0.2">
      <c r="A128" s="795"/>
      <c r="B128" s="795"/>
      <c r="C128" s="795"/>
      <c r="D128" s="795"/>
      <c r="E128" s="795"/>
      <c r="F128" s="795"/>
      <c r="G128" s="795"/>
      <c r="H128" s="795"/>
      <c r="I128" s="795"/>
      <c r="J128" s="795"/>
      <c r="K128" s="795"/>
      <c r="L128" s="795"/>
      <c r="M128" s="795"/>
      <c r="N128" s="795"/>
      <c r="O128" s="544"/>
    </row>
    <row r="129" spans="1:15" x14ac:dyDescent="0.2">
      <c r="A129" s="795"/>
      <c r="B129" s="795"/>
      <c r="C129" s="795"/>
      <c r="D129" s="795"/>
      <c r="E129" s="795"/>
      <c r="F129" s="795"/>
      <c r="G129" s="795"/>
      <c r="H129" s="795"/>
      <c r="I129" s="795"/>
      <c r="J129" s="795"/>
      <c r="K129" s="795"/>
      <c r="L129" s="795"/>
      <c r="M129" s="795"/>
      <c r="N129" s="795"/>
      <c r="O129" s="544"/>
    </row>
    <row r="130" spans="1:15" x14ac:dyDescent="0.2">
      <c r="A130" s="795"/>
      <c r="B130" s="795"/>
      <c r="C130" s="795"/>
      <c r="D130" s="795"/>
      <c r="E130" s="795"/>
      <c r="F130" s="795"/>
      <c r="G130" s="795"/>
      <c r="H130" s="795"/>
      <c r="I130" s="795"/>
      <c r="J130" s="795"/>
      <c r="K130" s="795"/>
      <c r="L130" s="795"/>
      <c r="M130" s="795"/>
      <c r="N130" s="795"/>
      <c r="O130" s="544"/>
    </row>
    <row r="131" spans="1:15" x14ac:dyDescent="0.2">
      <c r="A131" s="795"/>
      <c r="B131" s="795"/>
      <c r="C131" s="795"/>
      <c r="D131" s="795"/>
      <c r="E131" s="795"/>
      <c r="F131" s="795"/>
      <c r="G131" s="795"/>
      <c r="H131" s="795"/>
      <c r="I131" s="795"/>
      <c r="J131" s="795"/>
      <c r="K131" s="795"/>
      <c r="L131" s="795"/>
      <c r="M131" s="795"/>
      <c r="N131" s="795"/>
      <c r="O131" s="544"/>
    </row>
    <row r="132" spans="1:15" x14ac:dyDescent="0.2">
      <c r="A132" s="795"/>
      <c r="B132" s="795"/>
      <c r="C132" s="795"/>
      <c r="D132" s="795"/>
      <c r="E132" s="795"/>
      <c r="F132" s="795"/>
      <c r="G132" s="795"/>
      <c r="H132" s="795"/>
      <c r="I132" s="795"/>
      <c r="J132" s="795"/>
      <c r="K132" s="795"/>
      <c r="L132" s="795"/>
      <c r="M132" s="795"/>
      <c r="N132" s="795"/>
      <c r="O132" s="544"/>
    </row>
    <row r="133" spans="1:15" x14ac:dyDescent="0.2">
      <c r="A133" s="795"/>
      <c r="B133" s="795"/>
      <c r="C133" s="795"/>
      <c r="D133" s="795"/>
      <c r="E133" s="795"/>
      <c r="F133" s="795"/>
      <c r="G133" s="795"/>
      <c r="H133" s="795"/>
      <c r="I133" s="795"/>
      <c r="J133" s="795"/>
      <c r="K133" s="795"/>
      <c r="L133" s="795"/>
      <c r="M133" s="795"/>
      <c r="N133" s="795"/>
      <c r="O133" s="544"/>
    </row>
    <row r="134" spans="1:15" x14ac:dyDescent="0.2">
      <c r="A134" s="795"/>
      <c r="B134" s="795"/>
      <c r="C134" s="795"/>
      <c r="D134" s="795"/>
      <c r="E134" s="795"/>
      <c r="F134" s="795"/>
      <c r="G134" s="795"/>
      <c r="H134" s="795"/>
      <c r="I134" s="795"/>
      <c r="J134" s="795"/>
      <c r="K134" s="795"/>
      <c r="L134" s="795"/>
      <c r="M134" s="795"/>
      <c r="N134" s="795"/>
      <c r="O134" s="544"/>
    </row>
    <row r="135" spans="1:15" x14ac:dyDescent="0.2">
      <c r="A135" s="795"/>
      <c r="B135" s="795"/>
      <c r="C135" s="795"/>
      <c r="D135" s="795"/>
      <c r="E135" s="795"/>
      <c r="F135" s="795"/>
      <c r="G135" s="795"/>
      <c r="H135" s="795"/>
      <c r="I135" s="795"/>
      <c r="J135" s="795"/>
      <c r="K135" s="795"/>
      <c r="L135" s="795"/>
      <c r="M135" s="795"/>
      <c r="N135" s="795"/>
      <c r="O135" s="544"/>
    </row>
    <row r="136" spans="1:15" x14ac:dyDescent="0.2">
      <c r="A136" s="795"/>
      <c r="B136" s="795"/>
      <c r="C136" s="795"/>
      <c r="D136" s="795"/>
      <c r="E136" s="795"/>
      <c r="F136" s="795"/>
      <c r="G136" s="795"/>
      <c r="H136" s="795"/>
      <c r="I136" s="795"/>
      <c r="J136" s="795"/>
      <c r="K136" s="795"/>
      <c r="L136" s="795"/>
      <c r="M136" s="795"/>
      <c r="N136" s="795"/>
      <c r="O136" s="544"/>
    </row>
    <row r="137" spans="1:15" x14ac:dyDescent="0.2">
      <c r="A137" s="795"/>
      <c r="B137" s="795"/>
      <c r="C137" s="795"/>
      <c r="D137" s="795"/>
      <c r="E137" s="795"/>
      <c r="F137" s="795"/>
      <c r="G137" s="795"/>
      <c r="H137" s="795"/>
      <c r="I137" s="795"/>
      <c r="J137" s="795"/>
      <c r="K137" s="795"/>
      <c r="L137" s="795"/>
      <c r="M137" s="795"/>
      <c r="N137" s="795"/>
      <c r="O137" s="544"/>
    </row>
    <row r="138" spans="1:15" x14ac:dyDescent="0.2">
      <c r="A138" s="795"/>
      <c r="B138" s="795"/>
      <c r="C138" s="795"/>
      <c r="D138" s="795"/>
      <c r="E138" s="795"/>
      <c r="F138" s="795"/>
      <c r="G138" s="795"/>
      <c r="H138" s="795"/>
      <c r="I138" s="795"/>
      <c r="J138" s="795"/>
      <c r="K138" s="795"/>
      <c r="L138" s="795"/>
      <c r="M138" s="795"/>
      <c r="N138" s="795"/>
      <c r="O138" s="544"/>
    </row>
    <row r="139" spans="1:15" x14ac:dyDescent="0.2">
      <c r="A139" s="795"/>
      <c r="B139" s="795"/>
      <c r="C139" s="795"/>
      <c r="D139" s="795"/>
      <c r="E139" s="795"/>
      <c r="F139" s="795"/>
      <c r="G139" s="795"/>
      <c r="H139" s="795"/>
      <c r="I139" s="795"/>
      <c r="J139" s="795"/>
      <c r="K139" s="795"/>
      <c r="L139" s="795"/>
      <c r="M139" s="795"/>
      <c r="N139" s="795"/>
      <c r="O139" s="544"/>
    </row>
    <row r="140" spans="1:15" x14ac:dyDescent="0.2">
      <c r="A140" s="795"/>
      <c r="B140" s="795"/>
      <c r="C140" s="795"/>
      <c r="D140" s="795"/>
      <c r="E140" s="795"/>
      <c r="F140" s="795"/>
      <c r="G140" s="795"/>
      <c r="H140" s="795"/>
      <c r="I140" s="795"/>
      <c r="J140" s="795"/>
      <c r="K140" s="795"/>
      <c r="L140" s="795"/>
      <c r="M140" s="795"/>
      <c r="N140" s="795"/>
      <c r="O140" s="544"/>
    </row>
    <row r="141" spans="1:15" x14ac:dyDescent="0.2">
      <c r="A141" s="795"/>
      <c r="B141" s="795"/>
      <c r="C141" s="795"/>
      <c r="D141" s="795"/>
      <c r="E141" s="795"/>
      <c r="F141" s="795"/>
      <c r="G141" s="795"/>
      <c r="H141" s="795"/>
      <c r="I141" s="795"/>
      <c r="J141" s="795"/>
      <c r="K141" s="795"/>
      <c r="L141" s="795"/>
      <c r="M141" s="795"/>
      <c r="N141" s="795"/>
      <c r="O141" s="544"/>
    </row>
    <row r="142" spans="1:15" x14ac:dyDescent="0.2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</row>
    <row r="143" spans="1:15" x14ac:dyDescent="0.2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</row>
    <row r="144" spans="1:15" x14ac:dyDescent="0.2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</row>
    <row r="145" spans="1:14" x14ac:dyDescent="0.2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</row>
    <row r="146" spans="1:14" x14ac:dyDescent="0.2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</row>
    <row r="147" spans="1:14" x14ac:dyDescent="0.2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</row>
    <row r="148" spans="1:14" x14ac:dyDescent="0.2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</row>
    <row r="149" spans="1:14" x14ac:dyDescent="0.2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</row>
    <row r="150" spans="1:14" x14ac:dyDescent="0.2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</row>
    <row r="151" spans="1:14" x14ac:dyDescent="0.2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</row>
    <row r="152" spans="1:14" x14ac:dyDescent="0.2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</row>
    <row r="153" spans="1:14" x14ac:dyDescent="0.2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</row>
    <row r="154" spans="1:14" x14ac:dyDescent="0.2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</row>
    <row r="155" spans="1:14" x14ac:dyDescent="0.2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</row>
    <row r="156" spans="1:14" x14ac:dyDescent="0.2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</row>
    <row r="157" spans="1:14" x14ac:dyDescent="0.2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</row>
    <row r="158" spans="1:14" x14ac:dyDescent="0.2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</row>
    <row r="159" spans="1:14" x14ac:dyDescent="0.2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</row>
    <row r="160" spans="1:14" x14ac:dyDescent="0.2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</row>
    <row r="161" spans="1:14" x14ac:dyDescent="0.2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</row>
    <row r="162" spans="1:14" x14ac:dyDescent="0.2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</row>
    <row r="163" spans="1:14" x14ac:dyDescent="0.2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</row>
    <row r="164" spans="1:14" x14ac:dyDescent="0.2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</row>
    <row r="165" spans="1:14" x14ac:dyDescent="0.2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</row>
    <row r="166" spans="1:14" x14ac:dyDescent="0.2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</row>
    <row r="167" spans="1:14" x14ac:dyDescent="0.2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</row>
    <row r="168" spans="1:14" x14ac:dyDescent="0.2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</row>
    <row r="169" spans="1:14" x14ac:dyDescent="0.2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</row>
    <row r="170" spans="1:14" x14ac:dyDescent="0.2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</row>
    <row r="171" spans="1:14" x14ac:dyDescent="0.2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</row>
    <row r="172" spans="1:14" x14ac:dyDescent="0.2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</row>
    <row r="173" spans="1:14" x14ac:dyDescent="0.2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</row>
    <row r="174" spans="1:14" x14ac:dyDescent="0.2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</row>
    <row r="175" spans="1:14" x14ac:dyDescent="0.2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</row>
    <row r="176" spans="1:14" x14ac:dyDescent="0.2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</row>
    <row r="177" spans="1:14" x14ac:dyDescent="0.2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</row>
    <row r="178" spans="1:14" x14ac:dyDescent="0.2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</row>
    <row r="179" spans="1:14" x14ac:dyDescent="0.2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</row>
    <row r="180" spans="1:14" x14ac:dyDescent="0.2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</row>
    <row r="181" spans="1:14" x14ac:dyDescent="0.2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</row>
    <row r="182" spans="1:14" x14ac:dyDescent="0.2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</row>
    <row r="183" spans="1:14" x14ac:dyDescent="0.2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</row>
    <row r="184" spans="1:14" x14ac:dyDescent="0.2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</row>
    <row r="185" spans="1:14" x14ac:dyDescent="0.2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</row>
    <row r="186" spans="1:14" x14ac:dyDescent="0.2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</row>
    <row r="187" spans="1:14" x14ac:dyDescent="0.2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</row>
    <row r="188" spans="1:14" x14ac:dyDescent="0.2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</row>
    <row r="189" spans="1:14" x14ac:dyDescent="0.2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</row>
    <row r="190" spans="1:14" x14ac:dyDescent="0.2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</row>
    <row r="191" spans="1:14" x14ac:dyDescent="0.2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</row>
    <row r="192" spans="1:14" x14ac:dyDescent="0.2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</row>
    <row r="193" spans="1:14" x14ac:dyDescent="0.2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</row>
    <row r="194" spans="1:14" x14ac:dyDescent="0.2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</row>
    <row r="195" spans="1:14" x14ac:dyDescent="0.2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</row>
    <row r="196" spans="1:14" x14ac:dyDescent="0.2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</row>
    <row r="197" spans="1:14" x14ac:dyDescent="0.2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</row>
    <row r="198" spans="1:14" x14ac:dyDescent="0.2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</row>
    <row r="199" spans="1:14" x14ac:dyDescent="0.2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</row>
    <row r="200" spans="1:14" x14ac:dyDescent="0.2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</row>
    <row r="201" spans="1:14" x14ac:dyDescent="0.2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</row>
    <row r="202" spans="1:14" x14ac:dyDescent="0.2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</row>
    <row r="203" spans="1:14" x14ac:dyDescent="0.2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</row>
    <row r="204" spans="1:14" x14ac:dyDescent="0.2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</row>
    <row r="205" spans="1:14" x14ac:dyDescent="0.2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</row>
    <row r="206" spans="1:14" x14ac:dyDescent="0.2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</row>
    <row r="207" spans="1:14" x14ac:dyDescent="0.2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</row>
    <row r="208" spans="1:14" x14ac:dyDescent="0.2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</row>
    <row r="209" spans="1:14" x14ac:dyDescent="0.2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</row>
    <row r="210" spans="1:14" x14ac:dyDescent="0.2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</row>
    <row r="211" spans="1:14" x14ac:dyDescent="0.2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</row>
    <row r="212" spans="1:14" x14ac:dyDescent="0.2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</row>
    <row r="213" spans="1:14" x14ac:dyDescent="0.2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</row>
    <row r="214" spans="1:14" x14ac:dyDescent="0.2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</row>
    <row r="215" spans="1:14" x14ac:dyDescent="0.2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</row>
    <row r="216" spans="1:14" x14ac:dyDescent="0.2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</row>
    <row r="217" spans="1:14" x14ac:dyDescent="0.2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</row>
    <row r="218" spans="1:14" x14ac:dyDescent="0.2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</row>
    <row r="219" spans="1:14" x14ac:dyDescent="0.2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</row>
    <row r="220" spans="1:14" x14ac:dyDescent="0.2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</row>
    <row r="221" spans="1:14" x14ac:dyDescent="0.2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</row>
    <row r="222" spans="1:14" x14ac:dyDescent="0.2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</row>
  </sheetData>
  <mergeCells count="26">
    <mergeCell ref="A7:N7"/>
    <mergeCell ref="A8:N8"/>
    <mergeCell ref="A9:N9"/>
    <mergeCell ref="A10:N10"/>
    <mergeCell ref="A11:A16"/>
    <mergeCell ref="B11:M11"/>
    <mergeCell ref="N11:N16"/>
    <mergeCell ref="B12:E12"/>
    <mergeCell ref="F12:I12"/>
    <mergeCell ref="J12:M12"/>
    <mergeCell ref="B26:M26"/>
    <mergeCell ref="I28:N29"/>
    <mergeCell ref="G30:H30"/>
    <mergeCell ref="M30:N30"/>
    <mergeCell ref="H13:H16"/>
    <mergeCell ref="I13:I16"/>
    <mergeCell ref="J13:J16"/>
    <mergeCell ref="K13:K16"/>
    <mergeCell ref="L13:L16"/>
    <mergeCell ref="M13:M16"/>
    <mergeCell ref="B13:B16"/>
    <mergeCell ref="C13:C16"/>
    <mergeCell ref="D13:D16"/>
    <mergeCell ref="E13:E16"/>
    <mergeCell ref="F13:F16"/>
    <mergeCell ref="G13:G16"/>
  </mergeCells>
  <pageMargins left="0.57999999999999996" right="0.2" top="0.22" bottom="0.16" header="0.22" footer="0.16"/>
  <pageSetup paperSize="9" orientation="landscape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6"/>
  <sheetViews>
    <sheetView zoomScale="115" zoomScaleNormal="115" workbookViewId="0">
      <selection activeCell="E21" sqref="E21"/>
    </sheetView>
  </sheetViews>
  <sheetFormatPr defaultRowHeight="12.75" x14ac:dyDescent="0.2"/>
  <cols>
    <col min="1" max="1" width="6.28515625" customWidth="1"/>
    <col min="2" max="2" width="58.28515625" customWidth="1"/>
    <col min="3" max="3" width="28.140625" customWidth="1"/>
    <col min="250" max="250" width="6.28515625" customWidth="1"/>
    <col min="251" max="251" width="58.28515625" customWidth="1"/>
    <col min="252" max="252" width="28.140625" customWidth="1"/>
    <col min="253" max="257" width="0" hidden="1" customWidth="1"/>
    <col min="259" max="259" width="15.140625" customWidth="1"/>
    <col min="506" max="506" width="6.28515625" customWidth="1"/>
    <col min="507" max="507" width="58.28515625" customWidth="1"/>
    <col min="508" max="508" width="28.140625" customWidth="1"/>
    <col min="509" max="513" width="0" hidden="1" customWidth="1"/>
    <col min="515" max="515" width="15.140625" customWidth="1"/>
    <col min="762" max="762" width="6.28515625" customWidth="1"/>
    <col min="763" max="763" width="58.28515625" customWidth="1"/>
    <col min="764" max="764" width="28.140625" customWidth="1"/>
    <col min="765" max="769" width="0" hidden="1" customWidth="1"/>
    <col min="771" max="771" width="15.140625" customWidth="1"/>
    <col min="1018" max="1018" width="6.28515625" customWidth="1"/>
    <col min="1019" max="1019" width="58.28515625" customWidth="1"/>
    <col min="1020" max="1020" width="28.140625" customWidth="1"/>
    <col min="1021" max="1025" width="0" hidden="1" customWidth="1"/>
    <col min="1027" max="1027" width="15.140625" customWidth="1"/>
    <col min="1274" max="1274" width="6.28515625" customWidth="1"/>
    <col min="1275" max="1275" width="58.28515625" customWidth="1"/>
    <col min="1276" max="1276" width="28.140625" customWidth="1"/>
    <col min="1277" max="1281" width="0" hidden="1" customWidth="1"/>
    <col min="1283" max="1283" width="15.140625" customWidth="1"/>
    <col min="1530" max="1530" width="6.28515625" customWidth="1"/>
    <col min="1531" max="1531" width="58.28515625" customWidth="1"/>
    <col min="1532" max="1532" width="28.140625" customWidth="1"/>
    <col min="1533" max="1537" width="0" hidden="1" customWidth="1"/>
    <col min="1539" max="1539" width="15.140625" customWidth="1"/>
    <col min="1786" max="1786" width="6.28515625" customWidth="1"/>
    <col min="1787" max="1787" width="58.28515625" customWidth="1"/>
    <col min="1788" max="1788" width="28.140625" customWidth="1"/>
    <col min="1789" max="1793" width="0" hidden="1" customWidth="1"/>
    <col min="1795" max="1795" width="15.140625" customWidth="1"/>
    <col min="2042" max="2042" width="6.28515625" customWidth="1"/>
    <col min="2043" max="2043" width="58.28515625" customWidth="1"/>
    <col min="2044" max="2044" width="28.140625" customWidth="1"/>
    <col min="2045" max="2049" width="0" hidden="1" customWidth="1"/>
    <col min="2051" max="2051" width="15.140625" customWidth="1"/>
    <col min="2298" max="2298" width="6.28515625" customWidth="1"/>
    <col min="2299" max="2299" width="58.28515625" customWidth="1"/>
    <col min="2300" max="2300" width="28.140625" customWidth="1"/>
    <col min="2301" max="2305" width="0" hidden="1" customWidth="1"/>
    <col min="2307" max="2307" width="15.140625" customWidth="1"/>
    <col min="2554" max="2554" width="6.28515625" customWidth="1"/>
    <col min="2555" max="2555" width="58.28515625" customWidth="1"/>
    <col min="2556" max="2556" width="28.140625" customWidth="1"/>
    <col min="2557" max="2561" width="0" hidden="1" customWidth="1"/>
    <col min="2563" max="2563" width="15.140625" customWidth="1"/>
    <col min="2810" max="2810" width="6.28515625" customWidth="1"/>
    <col min="2811" max="2811" width="58.28515625" customWidth="1"/>
    <col min="2812" max="2812" width="28.140625" customWidth="1"/>
    <col min="2813" max="2817" width="0" hidden="1" customWidth="1"/>
    <col min="2819" max="2819" width="15.140625" customWidth="1"/>
    <col min="3066" max="3066" width="6.28515625" customWidth="1"/>
    <col min="3067" max="3067" width="58.28515625" customWidth="1"/>
    <col min="3068" max="3068" width="28.140625" customWidth="1"/>
    <col min="3069" max="3073" width="0" hidden="1" customWidth="1"/>
    <col min="3075" max="3075" width="15.140625" customWidth="1"/>
    <col min="3322" max="3322" width="6.28515625" customWidth="1"/>
    <col min="3323" max="3323" width="58.28515625" customWidth="1"/>
    <col min="3324" max="3324" width="28.140625" customWidth="1"/>
    <col min="3325" max="3329" width="0" hidden="1" customWidth="1"/>
    <col min="3331" max="3331" width="15.140625" customWidth="1"/>
    <col min="3578" max="3578" width="6.28515625" customWidth="1"/>
    <col min="3579" max="3579" width="58.28515625" customWidth="1"/>
    <col min="3580" max="3580" width="28.140625" customWidth="1"/>
    <col min="3581" max="3585" width="0" hidden="1" customWidth="1"/>
    <col min="3587" max="3587" width="15.140625" customWidth="1"/>
    <col min="3834" max="3834" width="6.28515625" customWidth="1"/>
    <col min="3835" max="3835" width="58.28515625" customWidth="1"/>
    <col min="3836" max="3836" width="28.140625" customWidth="1"/>
    <col min="3837" max="3841" width="0" hidden="1" customWidth="1"/>
    <col min="3843" max="3843" width="15.140625" customWidth="1"/>
    <col min="4090" max="4090" width="6.28515625" customWidth="1"/>
    <col min="4091" max="4091" width="58.28515625" customWidth="1"/>
    <col min="4092" max="4092" width="28.140625" customWidth="1"/>
    <col min="4093" max="4097" width="0" hidden="1" customWidth="1"/>
    <col min="4099" max="4099" width="15.140625" customWidth="1"/>
    <col min="4346" max="4346" width="6.28515625" customWidth="1"/>
    <col min="4347" max="4347" width="58.28515625" customWidth="1"/>
    <col min="4348" max="4348" width="28.140625" customWidth="1"/>
    <col min="4349" max="4353" width="0" hidden="1" customWidth="1"/>
    <col min="4355" max="4355" width="15.140625" customWidth="1"/>
    <col min="4602" max="4602" width="6.28515625" customWidth="1"/>
    <col min="4603" max="4603" width="58.28515625" customWidth="1"/>
    <col min="4604" max="4604" width="28.140625" customWidth="1"/>
    <col min="4605" max="4609" width="0" hidden="1" customWidth="1"/>
    <col min="4611" max="4611" width="15.140625" customWidth="1"/>
    <col min="4858" max="4858" width="6.28515625" customWidth="1"/>
    <col min="4859" max="4859" width="58.28515625" customWidth="1"/>
    <col min="4860" max="4860" width="28.140625" customWidth="1"/>
    <col min="4861" max="4865" width="0" hidden="1" customWidth="1"/>
    <col min="4867" max="4867" width="15.140625" customWidth="1"/>
    <col min="5114" max="5114" width="6.28515625" customWidth="1"/>
    <col min="5115" max="5115" width="58.28515625" customWidth="1"/>
    <col min="5116" max="5116" width="28.140625" customWidth="1"/>
    <col min="5117" max="5121" width="0" hidden="1" customWidth="1"/>
    <col min="5123" max="5123" width="15.140625" customWidth="1"/>
    <col min="5370" max="5370" width="6.28515625" customWidth="1"/>
    <col min="5371" max="5371" width="58.28515625" customWidth="1"/>
    <col min="5372" max="5372" width="28.140625" customWidth="1"/>
    <col min="5373" max="5377" width="0" hidden="1" customWidth="1"/>
    <col min="5379" max="5379" width="15.140625" customWidth="1"/>
    <col min="5626" max="5626" width="6.28515625" customWidth="1"/>
    <col min="5627" max="5627" width="58.28515625" customWidth="1"/>
    <col min="5628" max="5628" width="28.140625" customWidth="1"/>
    <col min="5629" max="5633" width="0" hidden="1" customWidth="1"/>
    <col min="5635" max="5635" width="15.140625" customWidth="1"/>
    <col min="5882" max="5882" width="6.28515625" customWidth="1"/>
    <col min="5883" max="5883" width="58.28515625" customWidth="1"/>
    <col min="5884" max="5884" width="28.140625" customWidth="1"/>
    <col min="5885" max="5889" width="0" hidden="1" customWidth="1"/>
    <col min="5891" max="5891" width="15.140625" customWidth="1"/>
    <col min="6138" max="6138" width="6.28515625" customWidth="1"/>
    <col min="6139" max="6139" width="58.28515625" customWidth="1"/>
    <col min="6140" max="6140" width="28.140625" customWidth="1"/>
    <col min="6141" max="6145" width="0" hidden="1" customWidth="1"/>
    <col min="6147" max="6147" width="15.140625" customWidth="1"/>
    <col min="6394" max="6394" width="6.28515625" customWidth="1"/>
    <col min="6395" max="6395" width="58.28515625" customWidth="1"/>
    <col min="6396" max="6396" width="28.140625" customWidth="1"/>
    <col min="6397" max="6401" width="0" hidden="1" customWidth="1"/>
    <col min="6403" max="6403" width="15.140625" customWidth="1"/>
    <col min="6650" max="6650" width="6.28515625" customWidth="1"/>
    <col min="6651" max="6651" width="58.28515625" customWidth="1"/>
    <col min="6652" max="6652" width="28.140625" customWidth="1"/>
    <col min="6653" max="6657" width="0" hidden="1" customWidth="1"/>
    <col min="6659" max="6659" width="15.140625" customWidth="1"/>
    <col min="6906" max="6906" width="6.28515625" customWidth="1"/>
    <col min="6907" max="6907" width="58.28515625" customWidth="1"/>
    <col min="6908" max="6908" width="28.140625" customWidth="1"/>
    <col min="6909" max="6913" width="0" hidden="1" customWidth="1"/>
    <col min="6915" max="6915" width="15.140625" customWidth="1"/>
    <col min="7162" max="7162" width="6.28515625" customWidth="1"/>
    <col min="7163" max="7163" width="58.28515625" customWidth="1"/>
    <col min="7164" max="7164" width="28.140625" customWidth="1"/>
    <col min="7165" max="7169" width="0" hidden="1" customWidth="1"/>
    <col min="7171" max="7171" width="15.140625" customWidth="1"/>
    <col min="7418" max="7418" width="6.28515625" customWidth="1"/>
    <col min="7419" max="7419" width="58.28515625" customWidth="1"/>
    <col min="7420" max="7420" width="28.140625" customWidth="1"/>
    <col min="7421" max="7425" width="0" hidden="1" customWidth="1"/>
    <col min="7427" max="7427" width="15.140625" customWidth="1"/>
    <col min="7674" max="7674" width="6.28515625" customWidth="1"/>
    <col min="7675" max="7675" width="58.28515625" customWidth="1"/>
    <col min="7676" max="7676" width="28.140625" customWidth="1"/>
    <col min="7677" max="7681" width="0" hidden="1" customWidth="1"/>
    <col min="7683" max="7683" width="15.140625" customWidth="1"/>
    <col min="7930" max="7930" width="6.28515625" customWidth="1"/>
    <col min="7931" max="7931" width="58.28515625" customWidth="1"/>
    <col min="7932" max="7932" width="28.140625" customWidth="1"/>
    <col min="7933" max="7937" width="0" hidden="1" customWidth="1"/>
    <col min="7939" max="7939" width="15.140625" customWidth="1"/>
    <col min="8186" max="8186" width="6.28515625" customWidth="1"/>
    <col min="8187" max="8187" width="58.28515625" customWidth="1"/>
    <col min="8188" max="8188" width="28.140625" customWidth="1"/>
    <col min="8189" max="8193" width="0" hidden="1" customWidth="1"/>
    <col min="8195" max="8195" width="15.140625" customWidth="1"/>
    <col min="8442" max="8442" width="6.28515625" customWidth="1"/>
    <col min="8443" max="8443" width="58.28515625" customWidth="1"/>
    <col min="8444" max="8444" width="28.140625" customWidth="1"/>
    <col min="8445" max="8449" width="0" hidden="1" customWidth="1"/>
    <col min="8451" max="8451" width="15.140625" customWidth="1"/>
    <col min="8698" max="8698" width="6.28515625" customWidth="1"/>
    <col min="8699" max="8699" width="58.28515625" customWidth="1"/>
    <col min="8700" max="8700" width="28.140625" customWidth="1"/>
    <col min="8701" max="8705" width="0" hidden="1" customWidth="1"/>
    <col min="8707" max="8707" width="15.140625" customWidth="1"/>
    <col min="8954" max="8954" width="6.28515625" customWidth="1"/>
    <col min="8955" max="8955" width="58.28515625" customWidth="1"/>
    <col min="8956" max="8956" width="28.140625" customWidth="1"/>
    <col min="8957" max="8961" width="0" hidden="1" customWidth="1"/>
    <col min="8963" max="8963" width="15.140625" customWidth="1"/>
    <col min="9210" max="9210" width="6.28515625" customWidth="1"/>
    <col min="9211" max="9211" width="58.28515625" customWidth="1"/>
    <col min="9212" max="9212" width="28.140625" customWidth="1"/>
    <col min="9213" max="9217" width="0" hidden="1" customWidth="1"/>
    <col min="9219" max="9219" width="15.140625" customWidth="1"/>
    <col min="9466" max="9466" width="6.28515625" customWidth="1"/>
    <col min="9467" max="9467" width="58.28515625" customWidth="1"/>
    <col min="9468" max="9468" width="28.140625" customWidth="1"/>
    <col min="9469" max="9473" width="0" hidden="1" customWidth="1"/>
    <col min="9475" max="9475" width="15.140625" customWidth="1"/>
    <col min="9722" max="9722" width="6.28515625" customWidth="1"/>
    <col min="9723" max="9723" width="58.28515625" customWidth="1"/>
    <col min="9724" max="9724" width="28.140625" customWidth="1"/>
    <col min="9725" max="9729" width="0" hidden="1" customWidth="1"/>
    <col min="9731" max="9731" width="15.140625" customWidth="1"/>
    <col min="9978" max="9978" width="6.28515625" customWidth="1"/>
    <col min="9979" max="9979" width="58.28515625" customWidth="1"/>
    <col min="9980" max="9980" width="28.140625" customWidth="1"/>
    <col min="9981" max="9985" width="0" hidden="1" customWidth="1"/>
    <col min="9987" max="9987" width="15.140625" customWidth="1"/>
    <col min="10234" max="10234" width="6.28515625" customWidth="1"/>
    <col min="10235" max="10235" width="58.28515625" customWidth="1"/>
    <col min="10236" max="10236" width="28.140625" customWidth="1"/>
    <col min="10237" max="10241" width="0" hidden="1" customWidth="1"/>
    <col min="10243" max="10243" width="15.140625" customWidth="1"/>
    <col min="10490" max="10490" width="6.28515625" customWidth="1"/>
    <col min="10491" max="10491" width="58.28515625" customWidth="1"/>
    <col min="10492" max="10492" width="28.140625" customWidth="1"/>
    <col min="10493" max="10497" width="0" hidden="1" customWidth="1"/>
    <col min="10499" max="10499" width="15.140625" customWidth="1"/>
    <col min="10746" max="10746" width="6.28515625" customWidth="1"/>
    <col min="10747" max="10747" width="58.28515625" customWidth="1"/>
    <col min="10748" max="10748" width="28.140625" customWidth="1"/>
    <col min="10749" max="10753" width="0" hidden="1" customWidth="1"/>
    <col min="10755" max="10755" width="15.140625" customWidth="1"/>
    <col min="11002" max="11002" width="6.28515625" customWidth="1"/>
    <col min="11003" max="11003" width="58.28515625" customWidth="1"/>
    <col min="11004" max="11004" width="28.140625" customWidth="1"/>
    <col min="11005" max="11009" width="0" hidden="1" customWidth="1"/>
    <col min="11011" max="11011" width="15.140625" customWidth="1"/>
    <col min="11258" max="11258" width="6.28515625" customWidth="1"/>
    <col min="11259" max="11259" width="58.28515625" customWidth="1"/>
    <col min="11260" max="11260" width="28.140625" customWidth="1"/>
    <col min="11261" max="11265" width="0" hidden="1" customWidth="1"/>
    <col min="11267" max="11267" width="15.140625" customWidth="1"/>
    <col min="11514" max="11514" width="6.28515625" customWidth="1"/>
    <col min="11515" max="11515" width="58.28515625" customWidth="1"/>
    <col min="11516" max="11516" width="28.140625" customWidth="1"/>
    <col min="11517" max="11521" width="0" hidden="1" customWidth="1"/>
    <col min="11523" max="11523" width="15.140625" customWidth="1"/>
    <col min="11770" max="11770" width="6.28515625" customWidth="1"/>
    <col min="11771" max="11771" width="58.28515625" customWidth="1"/>
    <col min="11772" max="11772" width="28.140625" customWidth="1"/>
    <col min="11773" max="11777" width="0" hidden="1" customWidth="1"/>
    <col min="11779" max="11779" width="15.140625" customWidth="1"/>
    <col min="12026" max="12026" width="6.28515625" customWidth="1"/>
    <col min="12027" max="12027" width="58.28515625" customWidth="1"/>
    <col min="12028" max="12028" width="28.140625" customWidth="1"/>
    <col min="12029" max="12033" width="0" hidden="1" customWidth="1"/>
    <col min="12035" max="12035" width="15.140625" customWidth="1"/>
    <col min="12282" max="12282" width="6.28515625" customWidth="1"/>
    <col min="12283" max="12283" width="58.28515625" customWidth="1"/>
    <col min="12284" max="12284" width="28.140625" customWidth="1"/>
    <col min="12285" max="12289" width="0" hidden="1" customWidth="1"/>
    <col min="12291" max="12291" width="15.140625" customWidth="1"/>
    <col min="12538" max="12538" width="6.28515625" customWidth="1"/>
    <col min="12539" max="12539" width="58.28515625" customWidth="1"/>
    <col min="12540" max="12540" width="28.140625" customWidth="1"/>
    <col min="12541" max="12545" width="0" hidden="1" customWidth="1"/>
    <col min="12547" max="12547" width="15.140625" customWidth="1"/>
    <col min="12794" max="12794" width="6.28515625" customWidth="1"/>
    <col min="12795" max="12795" width="58.28515625" customWidth="1"/>
    <col min="12796" max="12796" width="28.140625" customWidth="1"/>
    <col min="12797" max="12801" width="0" hidden="1" customWidth="1"/>
    <col min="12803" max="12803" width="15.140625" customWidth="1"/>
    <col min="13050" max="13050" width="6.28515625" customWidth="1"/>
    <col min="13051" max="13051" width="58.28515625" customWidth="1"/>
    <col min="13052" max="13052" width="28.140625" customWidth="1"/>
    <col min="13053" max="13057" width="0" hidden="1" customWidth="1"/>
    <col min="13059" max="13059" width="15.140625" customWidth="1"/>
    <col min="13306" max="13306" width="6.28515625" customWidth="1"/>
    <col min="13307" max="13307" width="58.28515625" customWidth="1"/>
    <col min="13308" max="13308" width="28.140625" customWidth="1"/>
    <col min="13309" max="13313" width="0" hidden="1" customWidth="1"/>
    <col min="13315" max="13315" width="15.140625" customWidth="1"/>
    <col min="13562" max="13562" width="6.28515625" customWidth="1"/>
    <col min="13563" max="13563" width="58.28515625" customWidth="1"/>
    <col min="13564" max="13564" width="28.140625" customWidth="1"/>
    <col min="13565" max="13569" width="0" hidden="1" customWidth="1"/>
    <col min="13571" max="13571" width="15.140625" customWidth="1"/>
    <col min="13818" max="13818" width="6.28515625" customWidth="1"/>
    <col min="13819" max="13819" width="58.28515625" customWidth="1"/>
    <col min="13820" max="13820" width="28.140625" customWidth="1"/>
    <col min="13821" max="13825" width="0" hidden="1" customWidth="1"/>
    <col min="13827" max="13827" width="15.140625" customWidth="1"/>
    <col min="14074" max="14074" width="6.28515625" customWidth="1"/>
    <col min="14075" max="14075" width="58.28515625" customWidth="1"/>
    <col min="14076" max="14076" width="28.140625" customWidth="1"/>
    <col min="14077" max="14081" width="0" hidden="1" customWidth="1"/>
    <col min="14083" max="14083" width="15.140625" customWidth="1"/>
    <col min="14330" max="14330" width="6.28515625" customWidth="1"/>
    <col min="14331" max="14331" width="58.28515625" customWidth="1"/>
    <col min="14332" max="14332" width="28.140625" customWidth="1"/>
    <col min="14333" max="14337" width="0" hidden="1" customWidth="1"/>
    <col min="14339" max="14339" width="15.140625" customWidth="1"/>
    <col min="14586" max="14586" width="6.28515625" customWidth="1"/>
    <col min="14587" max="14587" width="58.28515625" customWidth="1"/>
    <col min="14588" max="14588" width="28.140625" customWidth="1"/>
    <col min="14589" max="14593" width="0" hidden="1" customWidth="1"/>
    <col min="14595" max="14595" width="15.140625" customWidth="1"/>
    <col min="14842" max="14842" width="6.28515625" customWidth="1"/>
    <col min="14843" max="14843" width="58.28515625" customWidth="1"/>
    <col min="14844" max="14844" width="28.140625" customWidth="1"/>
    <col min="14845" max="14849" width="0" hidden="1" customWidth="1"/>
    <col min="14851" max="14851" width="15.140625" customWidth="1"/>
    <col min="15098" max="15098" width="6.28515625" customWidth="1"/>
    <col min="15099" max="15099" width="58.28515625" customWidth="1"/>
    <col min="15100" max="15100" width="28.140625" customWidth="1"/>
    <col min="15101" max="15105" width="0" hidden="1" customWidth="1"/>
    <col min="15107" max="15107" width="15.140625" customWidth="1"/>
    <col min="15354" max="15354" width="6.28515625" customWidth="1"/>
    <col min="15355" max="15355" width="58.28515625" customWidth="1"/>
    <col min="15356" max="15356" width="28.140625" customWidth="1"/>
    <col min="15357" max="15361" width="0" hidden="1" customWidth="1"/>
    <col min="15363" max="15363" width="15.140625" customWidth="1"/>
    <col min="15610" max="15610" width="6.28515625" customWidth="1"/>
    <col min="15611" max="15611" width="58.28515625" customWidth="1"/>
    <col min="15612" max="15612" width="28.140625" customWidth="1"/>
    <col min="15613" max="15617" width="0" hidden="1" customWidth="1"/>
    <col min="15619" max="15619" width="15.140625" customWidth="1"/>
    <col min="15866" max="15866" width="6.28515625" customWidth="1"/>
    <col min="15867" max="15867" width="58.28515625" customWidth="1"/>
    <col min="15868" max="15868" width="28.140625" customWidth="1"/>
    <col min="15869" max="15873" width="0" hidden="1" customWidth="1"/>
    <col min="15875" max="15875" width="15.140625" customWidth="1"/>
    <col min="16122" max="16122" width="6.28515625" customWidth="1"/>
    <col min="16123" max="16123" width="58.28515625" customWidth="1"/>
    <col min="16124" max="16124" width="28.140625" customWidth="1"/>
    <col min="16125" max="16129" width="0" hidden="1" customWidth="1"/>
    <col min="16131" max="16131" width="15.140625" customWidth="1"/>
  </cols>
  <sheetData>
    <row r="1" spans="1:3" ht="15.75" x14ac:dyDescent="0.25">
      <c r="A1" s="778"/>
      <c r="B1" s="778"/>
      <c r="C1" s="777" t="s">
        <v>340</v>
      </c>
    </row>
    <row r="2" spans="1:3" ht="15.75" x14ac:dyDescent="0.25">
      <c r="A2" s="778"/>
      <c r="B2" s="778"/>
      <c r="C2" s="777" t="s">
        <v>341</v>
      </c>
    </row>
    <row r="3" spans="1:3" ht="15.75" x14ac:dyDescent="0.25">
      <c r="A3" s="779"/>
      <c r="B3" s="778"/>
      <c r="C3" s="777" t="s">
        <v>342</v>
      </c>
    </row>
    <row r="4" spans="1:3" ht="15.75" x14ac:dyDescent="0.25">
      <c r="A4" s="779"/>
      <c r="B4" s="778"/>
      <c r="C4" s="777" t="s">
        <v>343</v>
      </c>
    </row>
    <row r="5" spans="1:3" ht="13.9" customHeight="1" x14ac:dyDescent="0.25">
      <c r="A5" s="779"/>
      <c r="B5" s="778"/>
      <c r="C5" s="778"/>
    </row>
    <row r="6" spans="1:3" ht="48" customHeight="1" x14ac:dyDescent="0.3">
      <c r="A6" s="1199" t="s">
        <v>344</v>
      </c>
      <c r="B6" s="1199"/>
      <c r="C6" s="1199"/>
    </row>
    <row r="7" spans="1:3" ht="15.75" x14ac:dyDescent="0.2">
      <c r="A7" s="1200" t="s">
        <v>345</v>
      </c>
      <c r="B7" s="1200"/>
      <c r="C7" s="1200"/>
    </row>
    <row r="8" spans="1:3" ht="15.75" x14ac:dyDescent="0.2">
      <c r="A8" s="1201"/>
      <c r="B8" s="1201"/>
      <c r="C8" s="1201"/>
    </row>
    <row r="9" spans="1:3" ht="47.25" x14ac:dyDescent="0.2">
      <c r="A9" s="780" t="s">
        <v>280</v>
      </c>
      <c r="B9" s="781" t="s">
        <v>320</v>
      </c>
      <c r="C9" s="781" t="s">
        <v>346</v>
      </c>
    </row>
    <row r="10" spans="1:3" ht="15.75" x14ac:dyDescent="0.2">
      <c r="A10" s="782">
        <v>1</v>
      </c>
      <c r="B10" s="783" t="s">
        <v>347</v>
      </c>
      <c r="C10" s="784">
        <v>514111.79</v>
      </c>
    </row>
    <row r="11" spans="1:3" ht="15.75" x14ac:dyDescent="0.2">
      <c r="A11" s="785">
        <v>2</v>
      </c>
      <c r="B11" s="786" t="s">
        <v>261</v>
      </c>
      <c r="C11" s="784">
        <v>284315.74</v>
      </c>
    </row>
    <row r="12" spans="1:3" ht="31.5" x14ac:dyDescent="0.2">
      <c r="A12" s="785">
        <v>3</v>
      </c>
      <c r="B12" s="786" t="s">
        <v>262</v>
      </c>
      <c r="C12" s="784">
        <v>50249.3</v>
      </c>
    </row>
    <row r="13" spans="1:3" ht="15.75" x14ac:dyDescent="0.2">
      <c r="A13" s="785">
        <v>4</v>
      </c>
      <c r="B13" s="786" t="s">
        <v>263</v>
      </c>
      <c r="C13" s="784">
        <v>86921.34</v>
      </c>
    </row>
    <row r="14" spans="1:3" ht="15.75" x14ac:dyDescent="0.2">
      <c r="A14" s="785">
        <v>5</v>
      </c>
      <c r="B14" s="786" t="s">
        <v>264</v>
      </c>
      <c r="C14" s="784">
        <v>26733.08</v>
      </c>
    </row>
    <row r="15" spans="1:3" ht="15.75" x14ac:dyDescent="0.2">
      <c r="A15" s="785">
        <v>6</v>
      </c>
      <c r="B15" s="786" t="s">
        <v>265</v>
      </c>
      <c r="C15" s="784">
        <v>53358.05</v>
      </c>
    </row>
    <row r="16" spans="1:3" ht="15.75" x14ac:dyDescent="0.2">
      <c r="A16" s="785">
        <v>7</v>
      </c>
      <c r="B16" s="786" t="s">
        <v>266</v>
      </c>
      <c r="C16" s="784">
        <v>449801.37</v>
      </c>
    </row>
    <row r="17" spans="1:3" ht="15.75" x14ac:dyDescent="0.2">
      <c r="A17" s="785">
        <v>8</v>
      </c>
      <c r="B17" s="786" t="s">
        <v>267</v>
      </c>
      <c r="C17" s="784">
        <v>101651.83</v>
      </c>
    </row>
    <row r="18" spans="1:3" ht="15.75" x14ac:dyDescent="0.2">
      <c r="A18" s="785"/>
      <c r="B18" s="787" t="s">
        <v>348</v>
      </c>
      <c r="C18" s="784">
        <f>SUM(C10:C17)</f>
        <v>1567142.5</v>
      </c>
    </row>
    <row r="19" spans="1:3" ht="15.75" x14ac:dyDescent="0.2">
      <c r="A19" s="785"/>
      <c r="B19" s="786" t="s">
        <v>349</v>
      </c>
      <c r="C19" s="788">
        <v>1424675</v>
      </c>
    </row>
    <row r="20" spans="1:3" ht="15.75" x14ac:dyDescent="0.2">
      <c r="A20" s="785"/>
      <c r="B20" s="789" t="s">
        <v>350</v>
      </c>
      <c r="C20" s="790">
        <f>C18/C19*100</f>
        <v>110</v>
      </c>
    </row>
    <row r="21" spans="1:3" ht="15.75" x14ac:dyDescent="0.25">
      <c r="A21" s="791"/>
      <c r="B21" s="548"/>
      <c r="C21" s="548"/>
    </row>
    <row r="22" spans="1:3" ht="15.75" x14ac:dyDescent="0.25">
      <c r="A22" s="791"/>
      <c r="B22" s="548"/>
      <c r="C22" s="548"/>
    </row>
    <row r="23" spans="1:3" ht="15.75" x14ac:dyDescent="0.25">
      <c r="A23" s="548" t="s">
        <v>351</v>
      </c>
      <c r="B23" s="548"/>
      <c r="C23" s="548" t="s">
        <v>139</v>
      </c>
    </row>
    <row r="24" spans="1:3" ht="15.75" x14ac:dyDescent="0.25">
      <c r="A24" s="791"/>
      <c r="B24" s="792" t="s">
        <v>352</v>
      </c>
      <c r="C24" s="548"/>
    </row>
    <row r="25" spans="1:3" ht="15.75" x14ac:dyDescent="0.25">
      <c r="A25" s="548" t="s">
        <v>353</v>
      </c>
      <c r="B25" s="548"/>
      <c r="C25" s="548" t="s">
        <v>141</v>
      </c>
    </row>
    <row r="26" spans="1:3" ht="15.75" x14ac:dyDescent="0.25">
      <c r="A26" s="548"/>
      <c r="B26" s="548"/>
      <c r="C26" s="548"/>
    </row>
    <row r="27" spans="1:3" ht="15" x14ac:dyDescent="0.25">
      <c r="A27" s="778"/>
      <c r="B27" s="778"/>
      <c r="C27" s="778"/>
    </row>
    <row r="28" spans="1:3" ht="15" x14ac:dyDescent="0.25">
      <c r="A28" s="778"/>
      <c r="B28" s="778"/>
      <c r="C28" s="778"/>
    </row>
    <row r="29" spans="1:3" ht="15" x14ac:dyDescent="0.25">
      <c r="A29" s="778"/>
      <c r="B29" s="778"/>
      <c r="C29" s="778"/>
    </row>
    <row r="30" spans="1:3" ht="15" x14ac:dyDescent="0.25">
      <c r="A30" s="778"/>
      <c r="B30" s="778"/>
      <c r="C30" s="778"/>
    </row>
    <row r="31" spans="1:3" ht="15" x14ac:dyDescent="0.25">
      <c r="A31" s="778"/>
      <c r="B31" s="778"/>
      <c r="C31" s="778"/>
    </row>
    <row r="32" spans="1:3" ht="15" x14ac:dyDescent="0.25">
      <c r="A32" s="778"/>
      <c r="B32" s="778"/>
      <c r="C32" s="778"/>
    </row>
    <row r="33" spans="1:3" ht="15" x14ac:dyDescent="0.25">
      <c r="A33" s="778"/>
      <c r="B33" s="778"/>
      <c r="C33" s="778"/>
    </row>
    <row r="34" spans="1:3" ht="15" x14ac:dyDescent="0.25">
      <c r="A34" s="778"/>
      <c r="B34" s="778"/>
      <c r="C34" s="778"/>
    </row>
    <row r="35" spans="1:3" ht="15" x14ac:dyDescent="0.25">
      <c r="A35" s="778"/>
      <c r="B35" s="778"/>
      <c r="C35" s="778"/>
    </row>
    <row r="36" spans="1:3" ht="15" x14ac:dyDescent="0.25">
      <c r="A36" s="778"/>
      <c r="B36" s="778"/>
      <c r="C36" s="778"/>
    </row>
    <row r="37" spans="1:3" ht="15" x14ac:dyDescent="0.25">
      <c r="A37" s="778"/>
      <c r="B37" s="778"/>
      <c r="C37" s="778"/>
    </row>
    <row r="38" spans="1:3" ht="15" x14ac:dyDescent="0.25">
      <c r="A38" s="778"/>
      <c r="B38" s="778"/>
      <c r="C38" s="778"/>
    </row>
    <row r="39" spans="1:3" ht="15" x14ac:dyDescent="0.25">
      <c r="A39" s="778"/>
      <c r="B39" s="778"/>
      <c r="C39" s="778"/>
    </row>
    <row r="40" spans="1:3" ht="15" x14ac:dyDescent="0.25">
      <c r="A40" s="778"/>
      <c r="B40" s="778"/>
      <c r="C40" s="778"/>
    </row>
    <row r="41" spans="1:3" ht="15" x14ac:dyDescent="0.25">
      <c r="A41" s="778"/>
      <c r="B41" s="778"/>
      <c r="C41" s="778"/>
    </row>
    <row r="42" spans="1:3" ht="15" x14ac:dyDescent="0.25">
      <c r="A42" s="778"/>
      <c r="B42" s="778"/>
      <c r="C42" s="778"/>
    </row>
    <row r="43" spans="1:3" ht="15" x14ac:dyDescent="0.25">
      <c r="A43" s="778"/>
      <c r="B43" s="778"/>
      <c r="C43" s="778"/>
    </row>
    <row r="44" spans="1:3" ht="15" x14ac:dyDescent="0.25">
      <c r="A44" s="778"/>
      <c r="B44" s="778"/>
      <c r="C44" s="778"/>
    </row>
    <row r="45" spans="1:3" ht="14.25" x14ac:dyDescent="0.2">
      <c r="A45" s="793"/>
      <c r="B45" s="793"/>
      <c r="C45" s="793"/>
    </row>
    <row r="46" spans="1:3" ht="14.25" x14ac:dyDescent="0.2">
      <c r="A46" s="793"/>
      <c r="B46" s="793"/>
      <c r="C46" s="793"/>
    </row>
  </sheetData>
  <mergeCells count="3">
    <mergeCell ref="A6:C6"/>
    <mergeCell ref="A7:C7"/>
    <mergeCell ref="A8:C8"/>
  </mergeCells>
  <pageMargins left="0.63" right="0.33" top="0.28000000000000003" bottom="0.75" header="0.2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"/>
  <sheetViews>
    <sheetView topLeftCell="A4" workbookViewId="0">
      <selection activeCell="B5" sqref="B5"/>
    </sheetView>
  </sheetViews>
  <sheetFormatPr defaultRowHeight="12.75" x14ac:dyDescent="0.2"/>
  <cols>
    <col min="1" max="1" width="55" bestFit="1" customWidth="1"/>
    <col min="2" max="2" width="17.5703125" bestFit="1" customWidth="1"/>
    <col min="3" max="3" width="18.85546875" customWidth="1"/>
    <col min="257" max="257" width="55" bestFit="1" customWidth="1"/>
    <col min="258" max="258" width="17.5703125" bestFit="1" customWidth="1"/>
    <col min="259" max="259" width="18.85546875" customWidth="1"/>
    <col min="513" max="513" width="55" bestFit="1" customWidth="1"/>
    <col min="514" max="514" width="17.5703125" bestFit="1" customWidth="1"/>
    <col min="515" max="515" width="18.85546875" customWidth="1"/>
    <col min="769" max="769" width="55" bestFit="1" customWidth="1"/>
    <col min="770" max="770" width="17.5703125" bestFit="1" customWidth="1"/>
    <col min="771" max="771" width="18.85546875" customWidth="1"/>
    <col min="1025" max="1025" width="55" bestFit="1" customWidth="1"/>
    <col min="1026" max="1026" width="17.5703125" bestFit="1" customWidth="1"/>
    <col min="1027" max="1027" width="18.85546875" customWidth="1"/>
    <col min="1281" max="1281" width="55" bestFit="1" customWidth="1"/>
    <col min="1282" max="1282" width="17.5703125" bestFit="1" customWidth="1"/>
    <col min="1283" max="1283" width="18.85546875" customWidth="1"/>
    <col min="1537" max="1537" width="55" bestFit="1" customWidth="1"/>
    <col min="1538" max="1538" width="17.5703125" bestFit="1" customWidth="1"/>
    <col min="1539" max="1539" width="18.85546875" customWidth="1"/>
    <col min="1793" max="1793" width="55" bestFit="1" customWidth="1"/>
    <col min="1794" max="1794" width="17.5703125" bestFit="1" customWidth="1"/>
    <col min="1795" max="1795" width="18.85546875" customWidth="1"/>
    <col min="2049" max="2049" width="55" bestFit="1" customWidth="1"/>
    <col min="2050" max="2050" width="17.5703125" bestFit="1" customWidth="1"/>
    <col min="2051" max="2051" width="18.85546875" customWidth="1"/>
    <col min="2305" max="2305" width="55" bestFit="1" customWidth="1"/>
    <col min="2306" max="2306" width="17.5703125" bestFit="1" customWidth="1"/>
    <col min="2307" max="2307" width="18.85546875" customWidth="1"/>
    <col min="2561" max="2561" width="55" bestFit="1" customWidth="1"/>
    <col min="2562" max="2562" width="17.5703125" bestFit="1" customWidth="1"/>
    <col min="2563" max="2563" width="18.85546875" customWidth="1"/>
    <col min="2817" max="2817" width="55" bestFit="1" customWidth="1"/>
    <col min="2818" max="2818" width="17.5703125" bestFit="1" customWidth="1"/>
    <col min="2819" max="2819" width="18.85546875" customWidth="1"/>
    <col min="3073" max="3073" width="55" bestFit="1" customWidth="1"/>
    <col min="3074" max="3074" width="17.5703125" bestFit="1" customWidth="1"/>
    <col min="3075" max="3075" width="18.85546875" customWidth="1"/>
    <col min="3329" max="3329" width="55" bestFit="1" customWidth="1"/>
    <col min="3330" max="3330" width="17.5703125" bestFit="1" customWidth="1"/>
    <col min="3331" max="3331" width="18.85546875" customWidth="1"/>
    <col min="3585" max="3585" width="55" bestFit="1" customWidth="1"/>
    <col min="3586" max="3586" width="17.5703125" bestFit="1" customWidth="1"/>
    <col min="3587" max="3587" width="18.85546875" customWidth="1"/>
    <col min="3841" max="3841" width="55" bestFit="1" customWidth="1"/>
    <col min="3842" max="3842" width="17.5703125" bestFit="1" customWidth="1"/>
    <col min="3843" max="3843" width="18.85546875" customWidth="1"/>
    <col min="4097" max="4097" width="55" bestFit="1" customWidth="1"/>
    <col min="4098" max="4098" width="17.5703125" bestFit="1" customWidth="1"/>
    <col min="4099" max="4099" width="18.85546875" customWidth="1"/>
    <col min="4353" max="4353" width="55" bestFit="1" customWidth="1"/>
    <col min="4354" max="4354" width="17.5703125" bestFit="1" customWidth="1"/>
    <col min="4355" max="4355" width="18.85546875" customWidth="1"/>
    <col min="4609" max="4609" width="55" bestFit="1" customWidth="1"/>
    <col min="4610" max="4610" width="17.5703125" bestFit="1" customWidth="1"/>
    <col min="4611" max="4611" width="18.85546875" customWidth="1"/>
    <col min="4865" max="4865" width="55" bestFit="1" customWidth="1"/>
    <col min="4866" max="4866" width="17.5703125" bestFit="1" customWidth="1"/>
    <col min="4867" max="4867" width="18.85546875" customWidth="1"/>
    <col min="5121" max="5121" width="55" bestFit="1" customWidth="1"/>
    <col min="5122" max="5122" width="17.5703125" bestFit="1" customWidth="1"/>
    <col min="5123" max="5123" width="18.85546875" customWidth="1"/>
    <col min="5377" max="5377" width="55" bestFit="1" customWidth="1"/>
    <col min="5378" max="5378" width="17.5703125" bestFit="1" customWidth="1"/>
    <col min="5379" max="5379" width="18.85546875" customWidth="1"/>
    <col min="5633" max="5633" width="55" bestFit="1" customWidth="1"/>
    <col min="5634" max="5634" width="17.5703125" bestFit="1" customWidth="1"/>
    <col min="5635" max="5635" width="18.85546875" customWidth="1"/>
    <col min="5889" max="5889" width="55" bestFit="1" customWidth="1"/>
    <col min="5890" max="5890" width="17.5703125" bestFit="1" customWidth="1"/>
    <col min="5891" max="5891" width="18.85546875" customWidth="1"/>
    <col min="6145" max="6145" width="55" bestFit="1" customWidth="1"/>
    <col min="6146" max="6146" width="17.5703125" bestFit="1" customWidth="1"/>
    <col min="6147" max="6147" width="18.85546875" customWidth="1"/>
    <col min="6401" max="6401" width="55" bestFit="1" customWidth="1"/>
    <col min="6402" max="6402" width="17.5703125" bestFit="1" customWidth="1"/>
    <col min="6403" max="6403" width="18.85546875" customWidth="1"/>
    <col min="6657" max="6657" width="55" bestFit="1" customWidth="1"/>
    <col min="6658" max="6658" width="17.5703125" bestFit="1" customWidth="1"/>
    <col min="6659" max="6659" width="18.85546875" customWidth="1"/>
    <col min="6913" max="6913" width="55" bestFit="1" customWidth="1"/>
    <col min="6914" max="6914" width="17.5703125" bestFit="1" customWidth="1"/>
    <col min="6915" max="6915" width="18.85546875" customWidth="1"/>
    <col min="7169" max="7169" width="55" bestFit="1" customWidth="1"/>
    <col min="7170" max="7170" width="17.5703125" bestFit="1" customWidth="1"/>
    <col min="7171" max="7171" width="18.85546875" customWidth="1"/>
    <col min="7425" max="7425" width="55" bestFit="1" customWidth="1"/>
    <col min="7426" max="7426" width="17.5703125" bestFit="1" customWidth="1"/>
    <col min="7427" max="7427" width="18.85546875" customWidth="1"/>
    <col min="7681" max="7681" width="55" bestFit="1" customWidth="1"/>
    <col min="7682" max="7682" width="17.5703125" bestFit="1" customWidth="1"/>
    <col min="7683" max="7683" width="18.85546875" customWidth="1"/>
    <col min="7937" max="7937" width="55" bestFit="1" customWidth="1"/>
    <col min="7938" max="7938" width="17.5703125" bestFit="1" customWidth="1"/>
    <col min="7939" max="7939" width="18.85546875" customWidth="1"/>
    <col min="8193" max="8193" width="55" bestFit="1" customWidth="1"/>
    <col min="8194" max="8194" width="17.5703125" bestFit="1" customWidth="1"/>
    <col min="8195" max="8195" width="18.85546875" customWidth="1"/>
    <col min="8449" max="8449" width="55" bestFit="1" customWidth="1"/>
    <col min="8450" max="8450" width="17.5703125" bestFit="1" customWidth="1"/>
    <col min="8451" max="8451" width="18.85546875" customWidth="1"/>
    <col min="8705" max="8705" width="55" bestFit="1" customWidth="1"/>
    <col min="8706" max="8706" width="17.5703125" bestFit="1" customWidth="1"/>
    <col min="8707" max="8707" width="18.85546875" customWidth="1"/>
    <col min="8961" max="8961" width="55" bestFit="1" customWidth="1"/>
    <col min="8962" max="8962" width="17.5703125" bestFit="1" customWidth="1"/>
    <col min="8963" max="8963" width="18.85546875" customWidth="1"/>
    <col min="9217" max="9217" width="55" bestFit="1" customWidth="1"/>
    <col min="9218" max="9218" width="17.5703125" bestFit="1" customWidth="1"/>
    <col min="9219" max="9219" width="18.85546875" customWidth="1"/>
    <col min="9473" max="9473" width="55" bestFit="1" customWidth="1"/>
    <col min="9474" max="9474" width="17.5703125" bestFit="1" customWidth="1"/>
    <col min="9475" max="9475" width="18.85546875" customWidth="1"/>
    <col min="9729" max="9729" width="55" bestFit="1" customWidth="1"/>
    <col min="9730" max="9730" width="17.5703125" bestFit="1" customWidth="1"/>
    <col min="9731" max="9731" width="18.85546875" customWidth="1"/>
    <col min="9985" max="9985" width="55" bestFit="1" customWidth="1"/>
    <col min="9986" max="9986" width="17.5703125" bestFit="1" customWidth="1"/>
    <col min="9987" max="9987" width="18.85546875" customWidth="1"/>
    <col min="10241" max="10241" width="55" bestFit="1" customWidth="1"/>
    <col min="10242" max="10242" width="17.5703125" bestFit="1" customWidth="1"/>
    <col min="10243" max="10243" width="18.85546875" customWidth="1"/>
    <col min="10497" max="10497" width="55" bestFit="1" customWidth="1"/>
    <col min="10498" max="10498" width="17.5703125" bestFit="1" customWidth="1"/>
    <col min="10499" max="10499" width="18.85546875" customWidth="1"/>
    <col min="10753" max="10753" width="55" bestFit="1" customWidth="1"/>
    <col min="10754" max="10754" width="17.5703125" bestFit="1" customWidth="1"/>
    <col min="10755" max="10755" width="18.85546875" customWidth="1"/>
    <col min="11009" max="11009" width="55" bestFit="1" customWidth="1"/>
    <col min="11010" max="11010" width="17.5703125" bestFit="1" customWidth="1"/>
    <col min="11011" max="11011" width="18.85546875" customWidth="1"/>
    <col min="11265" max="11265" width="55" bestFit="1" customWidth="1"/>
    <col min="11266" max="11266" width="17.5703125" bestFit="1" customWidth="1"/>
    <col min="11267" max="11267" width="18.85546875" customWidth="1"/>
    <col min="11521" max="11521" width="55" bestFit="1" customWidth="1"/>
    <col min="11522" max="11522" width="17.5703125" bestFit="1" customWidth="1"/>
    <col min="11523" max="11523" width="18.85546875" customWidth="1"/>
    <col min="11777" max="11777" width="55" bestFit="1" customWidth="1"/>
    <col min="11778" max="11778" width="17.5703125" bestFit="1" customWidth="1"/>
    <col min="11779" max="11779" width="18.85546875" customWidth="1"/>
    <col min="12033" max="12033" width="55" bestFit="1" customWidth="1"/>
    <col min="12034" max="12034" width="17.5703125" bestFit="1" customWidth="1"/>
    <col min="12035" max="12035" width="18.85546875" customWidth="1"/>
    <col min="12289" max="12289" width="55" bestFit="1" customWidth="1"/>
    <col min="12290" max="12290" width="17.5703125" bestFit="1" customWidth="1"/>
    <col min="12291" max="12291" width="18.85546875" customWidth="1"/>
    <col min="12545" max="12545" width="55" bestFit="1" customWidth="1"/>
    <col min="12546" max="12546" width="17.5703125" bestFit="1" customWidth="1"/>
    <col min="12547" max="12547" width="18.85546875" customWidth="1"/>
    <col min="12801" max="12801" width="55" bestFit="1" customWidth="1"/>
    <col min="12802" max="12802" width="17.5703125" bestFit="1" customWidth="1"/>
    <col min="12803" max="12803" width="18.85546875" customWidth="1"/>
    <col min="13057" max="13057" width="55" bestFit="1" customWidth="1"/>
    <col min="13058" max="13058" width="17.5703125" bestFit="1" customWidth="1"/>
    <col min="13059" max="13059" width="18.85546875" customWidth="1"/>
    <col min="13313" max="13313" width="55" bestFit="1" customWidth="1"/>
    <col min="13314" max="13314" width="17.5703125" bestFit="1" customWidth="1"/>
    <col min="13315" max="13315" width="18.85546875" customWidth="1"/>
    <col min="13569" max="13569" width="55" bestFit="1" customWidth="1"/>
    <col min="13570" max="13570" width="17.5703125" bestFit="1" customWidth="1"/>
    <col min="13571" max="13571" width="18.85546875" customWidth="1"/>
    <col min="13825" max="13825" width="55" bestFit="1" customWidth="1"/>
    <col min="13826" max="13826" width="17.5703125" bestFit="1" customWidth="1"/>
    <col min="13827" max="13827" width="18.85546875" customWidth="1"/>
    <col min="14081" max="14081" width="55" bestFit="1" customWidth="1"/>
    <col min="14082" max="14082" width="17.5703125" bestFit="1" customWidth="1"/>
    <col min="14083" max="14083" width="18.85546875" customWidth="1"/>
    <col min="14337" max="14337" width="55" bestFit="1" customWidth="1"/>
    <col min="14338" max="14338" width="17.5703125" bestFit="1" customWidth="1"/>
    <col min="14339" max="14339" width="18.85546875" customWidth="1"/>
    <col min="14593" max="14593" width="55" bestFit="1" customWidth="1"/>
    <col min="14594" max="14594" width="17.5703125" bestFit="1" customWidth="1"/>
    <col min="14595" max="14595" width="18.85546875" customWidth="1"/>
    <col min="14849" max="14849" width="55" bestFit="1" customWidth="1"/>
    <col min="14850" max="14850" width="17.5703125" bestFit="1" customWidth="1"/>
    <col min="14851" max="14851" width="18.85546875" customWidth="1"/>
    <col min="15105" max="15105" width="55" bestFit="1" customWidth="1"/>
    <col min="15106" max="15106" width="17.5703125" bestFit="1" customWidth="1"/>
    <col min="15107" max="15107" width="18.85546875" customWidth="1"/>
    <col min="15361" max="15361" width="55" bestFit="1" customWidth="1"/>
    <col min="15362" max="15362" width="17.5703125" bestFit="1" customWidth="1"/>
    <col min="15363" max="15363" width="18.85546875" customWidth="1"/>
    <col min="15617" max="15617" width="55" bestFit="1" customWidth="1"/>
    <col min="15618" max="15618" width="17.5703125" bestFit="1" customWidth="1"/>
    <col min="15619" max="15619" width="18.85546875" customWidth="1"/>
    <col min="15873" max="15873" width="55" bestFit="1" customWidth="1"/>
    <col min="15874" max="15874" width="17.5703125" bestFit="1" customWidth="1"/>
    <col min="15875" max="15875" width="18.85546875" customWidth="1"/>
    <col min="16129" max="16129" width="55" bestFit="1" customWidth="1"/>
    <col min="16130" max="16130" width="17.5703125" bestFit="1" customWidth="1"/>
    <col min="16131" max="16131" width="18.85546875" customWidth="1"/>
  </cols>
  <sheetData>
    <row r="1" spans="1:4" ht="16.5" x14ac:dyDescent="0.2">
      <c r="C1" s="822" t="s">
        <v>394</v>
      </c>
    </row>
    <row r="2" spans="1:4" ht="16.5" x14ac:dyDescent="0.2">
      <c r="A2" s="823"/>
    </row>
    <row r="3" spans="1:4" ht="15.75" x14ac:dyDescent="0.2">
      <c r="A3" s="824" t="s">
        <v>395</v>
      </c>
      <c r="B3" s="1202" t="s">
        <v>396</v>
      </c>
      <c r="C3" s="1203"/>
    </row>
    <row r="4" spans="1:4" ht="15.75" x14ac:dyDescent="0.2">
      <c r="A4" s="673" t="s">
        <v>259</v>
      </c>
      <c r="B4" s="825" t="s">
        <v>397</v>
      </c>
      <c r="C4" s="825"/>
    </row>
    <row r="5" spans="1:4" ht="15.75" x14ac:dyDescent="0.2">
      <c r="A5" s="673" t="s">
        <v>220</v>
      </c>
      <c r="B5" s="673" t="s">
        <v>398</v>
      </c>
      <c r="C5" s="673"/>
    </row>
    <row r="6" spans="1:4" ht="15.75" x14ac:dyDescent="0.2">
      <c r="A6" s="673"/>
      <c r="C6" s="826"/>
    </row>
    <row r="7" spans="1:4" ht="15.75" x14ac:dyDescent="0.2">
      <c r="A7" s="673" t="s">
        <v>399</v>
      </c>
      <c r="B7" s="75"/>
      <c r="C7" s="672" t="s">
        <v>400</v>
      </c>
    </row>
    <row r="8" spans="1:4" ht="15.75" x14ac:dyDescent="0.2">
      <c r="B8" s="1204"/>
      <c r="C8" s="1205"/>
    </row>
    <row r="9" spans="1:4" ht="15.75" x14ac:dyDescent="0.2">
      <c r="A9" s="673" t="s">
        <v>401</v>
      </c>
      <c r="B9" s="1204" t="s">
        <v>402</v>
      </c>
      <c r="C9" s="1205"/>
    </row>
    <row r="10" spans="1:4" ht="16.5" x14ac:dyDescent="0.2">
      <c r="A10" s="1207" t="s">
        <v>260</v>
      </c>
      <c r="B10" s="1208" t="s">
        <v>260</v>
      </c>
      <c r="C10" s="1203"/>
    </row>
    <row r="11" spans="1:4" ht="16.5" x14ac:dyDescent="0.2">
      <c r="A11" s="1207"/>
      <c r="C11" s="827"/>
    </row>
    <row r="12" spans="1:4" ht="16.5" x14ac:dyDescent="0.2">
      <c r="A12" s="1207"/>
      <c r="C12" s="827"/>
    </row>
    <row r="13" spans="1:4" ht="16.5" x14ac:dyDescent="0.25">
      <c r="A13" s="828"/>
    </row>
    <row r="14" spans="1:4" ht="16.5" x14ac:dyDescent="0.2">
      <c r="A14" s="1206" t="s">
        <v>403</v>
      </c>
      <c r="B14" s="1206"/>
      <c r="C14" s="1206"/>
      <c r="D14" s="829"/>
    </row>
    <row r="15" spans="1:4" ht="16.5" x14ac:dyDescent="0.2">
      <c r="A15" s="1206" t="s">
        <v>220</v>
      </c>
      <c r="B15" s="1206"/>
      <c r="C15" s="1206"/>
      <c r="D15" s="830"/>
    </row>
    <row r="16" spans="1:4" ht="16.5" x14ac:dyDescent="0.2">
      <c r="A16" s="1206" t="s">
        <v>404</v>
      </c>
      <c r="B16" s="1206"/>
      <c r="C16" s="1206"/>
      <c r="D16" s="830"/>
    </row>
    <row r="17" spans="1:4" ht="16.5" x14ac:dyDescent="0.2">
      <c r="A17" s="1206" t="s">
        <v>405</v>
      </c>
      <c r="B17" s="1206"/>
      <c r="C17" s="1206"/>
      <c r="D17" s="830"/>
    </row>
    <row r="18" spans="1:4" ht="16.5" x14ac:dyDescent="0.25">
      <c r="A18" s="828"/>
      <c r="B18" s="831"/>
      <c r="C18" s="831"/>
    </row>
    <row r="19" spans="1:4" ht="16.5" x14ac:dyDescent="0.25">
      <c r="A19" s="832" t="s">
        <v>406</v>
      </c>
      <c r="B19" s="833" t="s">
        <v>407</v>
      </c>
      <c r="C19" s="833" t="s">
        <v>408</v>
      </c>
    </row>
    <row r="20" spans="1:4" ht="16.5" x14ac:dyDescent="0.2">
      <c r="A20" s="834" t="s">
        <v>409</v>
      </c>
      <c r="B20" s="835"/>
      <c r="C20" s="835"/>
    </row>
    <row r="21" spans="1:4" ht="16.5" x14ac:dyDescent="0.2">
      <c r="A21" s="836" t="s">
        <v>410</v>
      </c>
      <c r="B21" s="837"/>
      <c r="C21" s="837"/>
    </row>
    <row r="22" spans="1:4" ht="16.5" x14ac:dyDescent="0.2">
      <c r="A22" s="836" t="s">
        <v>411</v>
      </c>
      <c r="B22" s="837"/>
      <c r="C22" s="837"/>
    </row>
    <row r="23" spans="1:4" ht="16.5" x14ac:dyDescent="0.2">
      <c r="A23" s="838" t="s">
        <v>412</v>
      </c>
      <c r="B23" s="839">
        <v>49500</v>
      </c>
      <c r="C23" s="839">
        <v>49500</v>
      </c>
    </row>
    <row r="24" spans="1:4" ht="16.5" x14ac:dyDescent="0.2">
      <c r="A24" s="840" t="s">
        <v>413</v>
      </c>
      <c r="B24" s="841">
        <f>B23*105.9/100*105.8/100-10.89</f>
        <v>55450</v>
      </c>
      <c r="C24" s="841">
        <f>B24</f>
        <v>55450</v>
      </c>
    </row>
    <row r="25" spans="1:4" ht="16.5" x14ac:dyDescent="0.2">
      <c r="A25" s="842" t="s">
        <v>414</v>
      </c>
      <c r="B25" s="1209" t="s">
        <v>415</v>
      </c>
      <c r="C25" s="1209" t="s">
        <v>415</v>
      </c>
    </row>
    <row r="26" spans="1:4" ht="16.5" x14ac:dyDescent="0.2">
      <c r="A26" s="842" t="s">
        <v>416</v>
      </c>
      <c r="B26" s="1210"/>
      <c r="C26" s="1210"/>
    </row>
    <row r="27" spans="1:4" ht="23.45" customHeight="1" x14ac:dyDescent="0.2">
      <c r="A27" s="842" t="s">
        <v>417</v>
      </c>
      <c r="B27" s="1211"/>
      <c r="C27" s="1211"/>
    </row>
    <row r="28" spans="1:4" ht="16.5" x14ac:dyDescent="0.2">
      <c r="A28" s="834" t="s">
        <v>418</v>
      </c>
      <c r="B28" s="1209" t="s">
        <v>419</v>
      </c>
      <c r="C28" s="1209" t="s">
        <v>419</v>
      </c>
    </row>
    <row r="29" spans="1:4" ht="16.5" x14ac:dyDescent="0.2">
      <c r="A29" s="836" t="s">
        <v>420</v>
      </c>
      <c r="B29" s="1210"/>
      <c r="C29" s="1210"/>
    </row>
    <row r="30" spans="1:4" ht="16.5" x14ac:dyDescent="0.2">
      <c r="A30" s="836" t="s">
        <v>421</v>
      </c>
      <c r="B30" s="1210"/>
      <c r="C30" s="1210"/>
    </row>
    <row r="31" spans="1:4" ht="16.5" x14ac:dyDescent="0.2">
      <c r="A31" s="843" t="s">
        <v>422</v>
      </c>
      <c r="B31" s="1211"/>
      <c r="C31" s="1211"/>
    </row>
    <row r="32" spans="1:4" ht="16.5" x14ac:dyDescent="0.25">
      <c r="A32" s="844"/>
    </row>
    <row r="33" spans="1:3" ht="16.5" x14ac:dyDescent="0.25">
      <c r="C33" s="844" t="s">
        <v>423</v>
      </c>
    </row>
    <row r="34" spans="1:3" ht="16.5" x14ac:dyDescent="0.2">
      <c r="A34" s="845" t="s">
        <v>424</v>
      </c>
      <c r="B34" s="822"/>
    </row>
    <row r="35" spans="1:3" ht="16.5" x14ac:dyDescent="0.2">
      <c r="A35" s="845" t="s">
        <v>220</v>
      </c>
      <c r="B35" s="822" t="s">
        <v>248</v>
      </c>
    </row>
    <row r="36" spans="1:3" ht="16.5" x14ac:dyDescent="0.2">
      <c r="A36" s="845"/>
      <c r="B36" s="845"/>
    </row>
    <row r="37" spans="1:3" ht="16.5" x14ac:dyDescent="0.2">
      <c r="A37" s="845"/>
      <c r="B37" s="826"/>
    </row>
    <row r="38" spans="1:3" ht="16.5" x14ac:dyDescent="0.2">
      <c r="A38" s="845"/>
      <c r="B38" s="826"/>
    </row>
    <row r="39" spans="1:3" ht="16.5" x14ac:dyDescent="0.2">
      <c r="A39" s="845"/>
      <c r="B39" s="826"/>
    </row>
  </sheetData>
  <mergeCells count="13">
    <mergeCell ref="B28:B31"/>
    <mergeCell ref="C28:C31"/>
    <mergeCell ref="A17:C17"/>
    <mergeCell ref="B25:B27"/>
    <mergeCell ref="C25:C27"/>
    <mergeCell ref="B3:C3"/>
    <mergeCell ref="B8:C8"/>
    <mergeCell ref="B9:C9"/>
    <mergeCell ref="A15:C15"/>
    <mergeCell ref="A16:C16"/>
    <mergeCell ref="A10:A12"/>
    <mergeCell ref="B10:C10"/>
    <mergeCell ref="A14:C14"/>
  </mergeCells>
  <pageMargins left="0.65" right="0.31" top="0.61" bottom="0.75" header="0.48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D9"/>
  <sheetViews>
    <sheetView workbookViewId="0">
      <selection activeCell="D5" sqref="D5:D9"/>
    </sheetView>
  </sheetViews>
  <sheetFormatPr defaultRowHeight="12.75" x14ac:dyDescent="0.2"/>
  <sheetData>
    <row r="5" spans="1:4" x14ac:dyDescent="0.2">
      <c r="A5" s="551"/>
      <c r="D5" s="551"/>
    </row>
    <row r="6" spans="1:4" x14ac:dyDescent="0.2">
      <c r="D6" s="551"/>
    </row>
    <row r="7" spans="1:4" x14ac:dyDescent="0.2">
      <c r="D7" s="551"/>
    </row>
    <row r="8" spans="1:4" x14ac:dyDescent="0.2">
      <c r="D8" s="551"/>
    </row>
    <row r="9" spans="1:4" x14ac:dyDescent="0.2">
      <c r="D9" s="55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29"/>
  <sheetViews>
    <sheetView view="pageBreakPreview" zoomScale="40" zoomScaleNormal="100" zoomScaleSheetLayoutView="40" workbookViewId="0">
      <selection activeCell="A8" sqref="A8"/>
    </sheetView>
  </sheetViews>
  <sheetFormatPr defaultRowHeight="12.75" x14ac:dyDescent="0.2"/>
  <cols>
    <col min="1" max="1" width="3.28515625" customWidth="1"/>
    <col min="2" max="2" width="12.42578125" bestFit="1" customWidth="1"/>
    <col min="3" max="3" width="16.42578125" customWidth="1"/>
    <col min="4" max="4" width="11.28515625" customWidth="1"/>
    <col min="5" max="5" width="10.140625" customWidth="1"/>
    <col min="6" max="6" width="11.28515625" bestFit="1" customWidth="1"/>
    <col min="7" max="7" width="10.5703125" customWidth="1"/>
    <col min="8" max="8" width="11.28515625" bestFit="1" customWidth="1"/>
    <col min="9" max="9" width="9.7109375" customWidth="1"/>
    <col min="10" max="10" width="11.28515625" bestFit="1" customWidth="1"/>
    <col min="11" max="11" width="10" customWidth="1"/>
    <col min="12" max="12" width="11.28515625" bestFit="1" customWidth="1"/>
    <col min="13" max="13" width="11.28515625" customWidth="1"/>
    <col min="14" max="14" width="11.28515625" bestFit="1" customWidth="1"/>
    <col min="15" max="15" width="11" customWidth="1"/>
    <col min="16" max="16" width="12.140625" bestFit="1" customWidth="1"/>
    <col min="17" max="17" width="10.5703125" bestFit="1" customWidth="1"/>
    <col min="18" max="18" width="11.28515625" bestFit="1" customWidth="1"/>
    <col min="19" max="19" width="10.7109375" customWidth="1"/>
    <col min="20" max="20" width="11.28515625" bestFit="1" customWidth="1"/>
    <col min="21" max="21" width="10.5703125" customWidth="1"/>
    <col min="22" max="22" width="11.28515625" bestFit="1" customWidth="1"/>
    <col min="23" max="23" width="10.5703125" customWidth="1"/>
    <col min="24" max="24" width="11.28515625" bestFit="1" customWidth="1"/>
    <col min="25" max="25" width="10.42578125" customWidth="1"/>
    <col min="26" max="26" width="12.140625" bestFit="1" customWidth="1"/>
    <col min="27" max="27" width="10.5703125" bestFit="1" customWidth="1"/>
    <col min="28" max="28" width="13.5703125" customWidth="1"/>
    <col min="29" max="29" width="13.7109375" customWidth="1"/>
    <col min="30" max="30" width="10.28515625" customWidth="1"/>
  </cols>
  <sheetData>
    <row r="1" spans="1:30" ht="15.75" x14ac:dyDescent="0.25">
      <c r="A1" s="544"/>
      <c r="B1" s="544"/>
      <c r="C1" s="544"/>
      <c r="D1" s="544"/>
      <c r="E1" s="544"/>
      <c r="F1" s="544"/>
      <c r="G1" s="544"/>
      <c r="H1" s="544"/>
      <c r="I1" s="544"/>
      <c r="J1" s="544"/>
      <c r="K1" s="544"/>
      <c r="L1" s="544"/>
      <c r="M1" s="544"/>
      <c r="N1" s="544"/>
      <c r="O1" s="544"/>
      <c r="P1" s="544"/>
      <c r="Q1" s="544"/>
      <c r="R1" s="544"/>
      <c r="S1" s="544"/>
      <c r="T1" s="544"/>
      <c r="U1" s="544"/>
      <c r="V1" s="544"/>
      <c r="W1" s="544"/>
      <c r="X1" s="544"/>
      <c r="Y1" s="544"/>
      <c r="Z1" s="544"/>
      <c r="AA1" s="544"/>
      <c r="AB1" s="544"/>
      <c r="AC1" s="943"/>
      <c r="AD1" s="943" t="s">
        <v>491</v>
      </c>
    </row>
    <row r="2" spans="1:30" ht="15.75" x14ac:dyDescent="0.25">
      <c r="A2" s="544"/>
      <c r="B2" s="544"/>
      <c r="C2" s="544"/>
      <c r="D2" s="544"/>
      <c r="E2" s="544"/>
      <c r="F2" s="544"/>
      <c r="G2" s="544"/>
      <c r="H2" s="544"/>
      <c r="I2" s="544"/>
      <c r="J2" s="544"/>
      <c r="K2" s="544"/>
      <c r="L2" s="544"/>
      <c r="M2" s="544"/>
      <c r="N2" s="544"/>
      <c r="O2" s="544"/>
      <c r="P2" s="544"/>
      <c r="Q2" s="544"/>
      <c r="R2" s="544"/>
      <c r="S2" s="544"/>
      <c r="T2" s="544"/>
      <c r="U2" s="544"/>
      <c r="V2" s="544"/>
      <c r="W2" s="544"/>
      <c r="X2" s="544"/>
      <c r="Y2" s="544"/>
      <c r="Z2" s="544"/>
      <c r="AA2" s="544"/>
      <c r="AB2" s="544"/>
      <c r="AC2" s="943"/>
      <c r="AD2" s="945" t="s">
        <v>515</v>
      </c>
    </row>
    <row r="3" spans="1:30" ht="15.75" x14ac:dyDescent="0.25">
      <c r="A3" s="544"/>
      <c r="B3" s="544"/>
      <c r="C3" s="544"/>
      <c r="D3" s="544"/>
      <c r="E3" s="544"/>
      <c r="F3" s="544"/>
      <c r="G3" s="544"/>
      <c r="H3" s="544"/>
      <c r="I3" s="544"/>
      <c r="J3" s="544"/>
      <c r="K3" s="544"/>
      <c r="L3" s="544"/>
      <c r="M3" s="544"/>
      <c r="N3" s="544"/>
      <c r="O3" s="544"/>
      <c r="P3" s="544"/>
      <c r="Q3" s="544"/>
      <c r="R3" s="544"/>
      <c r="S3" s="544"/>
      <c r="T3" s="544"/>
      <c r="U3" s="544"/>
      <c r="V3" s="544"/>
      <c r="W3" s="544"/>
      <c r="X3" s="544"/>
      <c r="Y3" s="544"/>
      <c r="Z3" s="544"/>
      <c r="AA3" s="544"/>
      <c r="AB3" s="544"/>
      <c r="AC3" s="943"/>
      <c r="AD3" s="943" t="s">
        <v>492</v>
      </c>
    </row>
    <row r="4" spans="1:30" ht="15.75" x14ac:dyDescent="0.25">
      <c r="A4" s="544"/>
      <c r="B4" s="544"/>
      <c r="C4" s="544"/>
      <c r="D4" s="544"/>
      <c r="E4" s="544"/>
      <c r="F4" s="544"/>
      <c r="G4" s="544"/>
      <c r="H4" s="544"/>
      <c r="I4" s="544"/>
      <c r="J4" s="544"/>
      <c r="K4" s="544"/>
      <c r="L4" s="544"/>
      <c r="M4" s="544"/>
      <c r="N4" s="544"/>
      <c r="O4" s="544"/>
      <c r="P4" s="544"/>
      <c r="Q4" s="544"/>
      <c r="R4" s="544"/>
      <c r="S4" s="544"/>
      <c r="T4" s="544"/>
      <c r="U4" s="544"/>
      <c r="V4" s="544"/>
      <c r="W4" s="544"/>
      <c r="X4" s="544"/>
      <c r="Y4" s="544"/>
      <c r="Z4" s="544"/>
      <c r="AA4" s="544"/>
      <c r="AB4" s="544"/>
      <c r="AC4" s="943"/>
      <c r="AD4" s="945" t="s">
        <v>526</v>
      </c>
    </row>
    <row r="5" spans="1:30" x14ac:dyDescent="0.2">
      <c r="A5" s="544"/>
      <c r="B5" s="544"/>
      <c r="C5" s="544"/>
      <c r="D5" s="544"/>
      <c r="E5" s="544"/>
      <c r="F5" s="544"/>
      <c r="G5" s="544"/>
      <c r="H5" s="544"/>
      <c r="I5" s="544"/>
      <c r="J5" s="544"/>
      <c r="K5" s="544"/>
      <c r="L5" s="544"/>
      <c r="M5" s="544"/>
      <c r="N5" s="544"/>
      <c r="O5" s="544"/>
      <c r="P5" s="544"/>
      <c r="Q5" s="544"/>
      <c r="R5" s="544"/>
      <c r="S5" s="544"/>
      <c r="T5" s="544"/>
      <c r="U5" s="544"/>
      <c r="V5" s="544"/>
      <c r="W5" s="544"/>
      <c r="X5" s="544"/>
      <c r="Y5" s="544"/>
      <c r="Z5" s="544"/>
      <c r="AA5" s="544"/>
      <c r="AB5" s="544"/>
      <c r="AC5" s="544"/>
    </row>
    <row r="6" spans="1:30" x14ac:dyDescent="0.2">
      <c r="A6" s="544"/>
      <c r="B6" s="544"/>
      <c r="C6" s="544"/>
      <c r="D6" s="544"/>
      <c r="E6" s="544"/>
      <c r="F6" s="985"/>
      <c r="G6" s="544"/>
      <c r="H6" s="544"/>
      <c r="I6" s="544"/>
      <c r="J6" s="544"/>
      <c r="K6" s="544"/>
      <c r="L6" s="544"/>
      <c r="M6" s="544"/>
      <c r="N6" s="544"/>
      <c r="O6" s="544"/>
      <c r="P6" s="544"/>
      <c r="Q6" s="544"/>
      <c r="R6" s="544"/>
      <c r="S6" s="544"/>
      <c r="T6" s="544"/>
      <c r="U6" s="544"/>
      <c r="V6" s="544"/>
      <c r="W6" s="544"/>
      <c r="X6" s="544"/>
      <c r="Y6" s="544"/>
      <c r="Z6" s="544"/>
      <c r="AA6" s="544"/>
      <c r="AB6" s="544"/>
      <c r="AC6" s="544"/>
    </row>
    <row r="7" spans="1:30" ht="15.75" x14ac:dyDescent="0.2">
      <c r="A7" s="1092" t="s">
        <v>493</v>
      </c>
      <c r="B7" s="1092"/>
      <c r="C7" s="1092"/>
      <c r="D7" s="1092"/>
      <c r="E7" s="1092"/>
      <c r="F7" s="1092"/>
      <c r="G7" s="1092"/>
      <c r="H7" s="1092"/>
      <c r="I7" s="1092"/>
      <c r="J7" s="1092"/>
      <c r="K7" s="1092"/>
      <c r="L7" s="1092"/>
      <c r="M7" s="1092"/>
      <c r="N7" s="1092"/>
      <c r="O7" s="1092"/>
      <c r="P7" s="1092"/>
      <c r="Q7" s="1092"/>
      <c r="R7" s="1092"/>
      <c r="S7" s="1092"/>
      <c r="T7" s="1092"/>
      <c r="U7" s="1092"/>
      <c r="V7" s="1092"/>
      <c r="W7" s="1092"/>
      <c r="X7" s="1092"/>
      <c r="Y7" s="1092"/>
      <c r="Z7" s="1092"/>
      <c r="AA7" s="1092"/>
      <c r="AB7" s="1092"/>
      <c r="AC7" s="1092"/>
      <c r="AD7" s="1092"/>
    </row>
    <row r="8" spans="1:30" x14ac:dyDescent="0.2">
      <c r="A8" s="544"/>
      <c r="B8" s="544"/>
      <c r="C8" s="544"/>
      <c r="D8" s="544"/>
      <c r="E8" s="544"/>
      <c r="F8" s="544"/>
      <c r="G8" s="544"/>
      <c r="H8" s="544"/>
      <c r="I8" s="544"/>
      <c r="J8" s="544"/>
      <c r="K8" s="544"/>
      <c r="L8" s="544"/>
      <c r="M8" s="544"/>
      <c r="N8" s="544"/>
      <c r="O8" s="544"/>
      <c r="P8" s="544"/>
      <c r="Q8" s="544"/>
      <c r="R8" s="544"/>
      <c r="S8" s="544"/>
      <c r="T8" s="544"/>
      <c r="U8" s="544"/>
      <c r="V8" s="544"/>
      <c r="W8" s="544"/>
      <c r="X8" s="544"/>
      <c r="Y8" s="544"/>
      <c r="Z8" s="544"/>
      <c r="AA8" s="544"/>
      <c r="AB8" s="544"/>
      <c r="AC8" s="544"/>
    </row>
    <row r="9" spans="1:30" ht="15.75" x14ac:dyDescent="0.25">
      <c r="A9" s="1093" t="s">
        <v>241</v>
      </c>
      <c r="B9" s="1093"/>
      <c r="C9" s="1093"/>
      <c r="D9" s="1093"/>
      <c r="E9" s="1093"/>
      <c r="F9" s="1093"/>
      <c r="G9" s="1093"/>
      <c r="H9" s="1093"/>
      <c r="I9" s="1093"/>
      <c r="J9" s="1093"/>
      <c r="K9" s="1093"/>
      <c r="L9" s="1093"/>
      <c r="M9" s="1093"/>
      <c r="N9" s="1093"/>
      <c r="O9" s="1093"/>
      <c r="P9" s="1093"/>
      <c r="Q9" s="1093"/>
      <c r="R9" s="1093"/>
      <c r="S9" s="1093"/>
      <c r="T9" s="1093"/>
      <c r="U9" s="1093"/>
      <c r="V9" s="1093"/>
      <c r="W9" s="1093"/>
      <c r="X9" s="1093"/>
      <c r="Y9" s="1093"/>
      <c r="Z9" s="1093"/>
      <c r="AA9" s="1093"/>
      <c r="AB9" s="1093"/>
      <c r="AC9" s="1093"/>
      <c r="AD9" s="1093"/>
    </row>
    <row r="10" spans="1:30" ht="13.5" thickBot="1" x14ac:dyDescent="0.25">
      <c r="A10" s="905"/>
      <c r="B10" s="905"/>
      <c r="C10" s="905"/>
      <c r="D10" s="906"/>
      <c r="E10" s="906"/>
      <c r="F10" s="907"/>
      <c r="G10" s="918"/>
      <c r="H10" s="544"/>
      <c r="I10" s="544"/>
      <c r="J10" s="544"/>
      <c r="K10" s="544"/>
      <c r="L10" s="544"/>
      <c r="M10" s="544"/>
      <c r="N10" s="544"/>
      <c r="O10" s="544"/>
      <c r="P10" s="544"/>
      <c r="Q10" s="544"/>
      <c r="R10" s="544"/>
      <c r="S10" s="544"/>
      <c r="T10" s="544"/>
      <c r="U10" s="544"/>
      <c r="V10" s="544"/>
      <c r="W10" s="544"/>
      <c r="X10" s="544"/>
      <c r="Y10" s="544"/>
      <c r="Z10" s="544"/>
      <c r="AA10" s="544"/>
      <c r="AB10" s="544"/>
      <c r="AC10" s="544"/>
    </row>
    <row r="11" spans="1:30" ht="12.75" customHeight="1" x14ac:dyDescent="0.2">
      <c r="A11" s="1094" t="s">
        <v>112</v>
      </c>
      <c r="B11" s="1096" t="s">
        <v>458</v>
      </c>
      <c r="C11" s="1098" t="s">
        <v>459</v>
      </c>
      <c r="D11" s="1100" t="s">
        <v>242</v>
      </c>
      <c r="E11" s="1101"/>
      <c r="F11" s="1102" t="s">
        <v>250</v>
      </c>
      <c r="G11" s="1103"/>
      <c r="H11" s="1100" t="s">
        <v>251</v>
      </c>
      <c r="I11" s="1104"/>
      <c r="J11" s="1100" t="s">
        <v>252</v>
      </c>
      <c r="K11" s="1101"/>
      <c r="L11" s="1100" t="s">
        <v>257</v>
      </c>
      <c r="M11" s="1101"/>
      <c r="N11" s="1100" t="s">
        <v>258</v>
      </c>
      <c r="O11" s="1104"/>
      <c r="P11" s="1100" t="s">
        <v>297</v>
      </c>
      <c r="Q11" s="1101"/>
      <c r="R11" s="1100" t="s">
        <v>300</v>
      </c>
      <c r="S11" s="1101"/>
      <c r="T11" s="1100" t="s">
        <v>427</v>
      </c>
      <c r="U11" s="1101"/>
      <c r="V11" s="908" t="s">
        <v>455</v>
      </c>
      <c r="W11" s="909" t="s">
        <v>455</v>
      </c>
      <c r="X11" s="1100" t="s">
        <v>494</v>
      </c>
      <c r="Y11" s="1101"/>
      <c r="Z11" s="908" t="s">
        <v>455</v>
      </c>
      <c r="AA11" s="909" t="s">
        <v>455</v>
      </c>
      <c r="AB11" s="986" t="s">
        <v>456</v>
      </c>
      <c r="AC11" s="987" t="s">
        <v>456</v>
      </c>
      <c r="AD11" s="1105" t="s">
        <v>457</v>
      </c>
    </row>
    <row r="12" spans="1:30" ht="60.75" thickBot="1" x14ac:dyDescent="0.25">
      <c r="A12" s="1095"/>
      <c r="B12" s="1097"/>
      <c r="C12" s="1099"/>
      <c r="D12" s="912" t="s">
        <v>460</v>
      </c>
      <c r="E12" s="911" t="s">
        <v>495</v>
      </c>
      <c r="F12" s="988" t="s">
        <v>460</v>
      </c>
      <c r="G12" s="1044" t="s">
        <v>495</v>
      </c>
      <c r="H12" s="913" t="s">
        <v>460</v>
      </c>
      <c r="I12" s="1044" t="s">
        <v>495</v>
      </c>
      <c r="J12" s="910" t="s">
        <v>460</v>
      </c>
      <c r="K12" s="911" t="s">
        <v>495</v>
      </c>
      <c r="L12" s="910" t="s">
        <v>460</v>
      </c>
      <c r="M12" s="911" t="s">
        <v>495</v>
      </c>
      <c r="N12" s="910" t="s">
        <v>460</v>
      </c>
      <c r="O12" s="911" t="s">
        <v>495</v>
      </c>
      <c r="P12" s="988" t="s">
        <v>460</v>
      </c>
      <c r="Q12" s="1044" t="s">
        <v>495</v>
      </c>
      <c r="R12" s="912" t="s">
        <v>460</v>
      </c>
      <c r="S12" s="911" t="s">
        <v>495</v>
      </c>
      <c r="T12" s="988" t="s">
        <v>460</v>
      </c>
      <c r="U12" s="1044" t="s">
        <v>495</v>
      </c>
      <c r="V12" s="914" t="s">
        <v>461</v>
      </c>
      <c r="W12" s="915" t="s">
        <v>496</v>
      </c>
      <c r="X12" s="912" t="s">
        <v>460</v>
      </c>
      <c r="Y12" s="911" t="s">
        <v>495</v>
      </c>
      <c r="Z12" s="914" t="s">
        <v>462</v>
      </c>
      <c r="AA12" s="915" t="s">
        <v>497</v>
      </c>
      <c r="AB12" s="916" t="s">
        <v>463</v>
      </c>
      <c r="AC12" s="917" t="s">
        <v>495</v>
      </c>
      <c r="AD12" s="1106"/>
    </row>
    <row r="13" spans="1:30" ht="24" x14ac:dyDescent="0.2">
      <c r="A13" s="919">
        <v>1</v>
      </c>
      <c r="B13" s="989" t="str">
        <f>'По Настройке'!L5</f>
        <v>Аналитик</v>
      </c>
      <c r="C13" s="920" t="str">
        <f>'По Настройке'!M5</f>
        <v>Группа аналитики и консалтинга</v>
      </c>
      <c r="D13" s="922">
        <f>'По Настройке'!Q5</f>
        <v>0</v>
      </c>
      <c r="E13" s="1043">
        <f>'По Настройке'!R5</f>
        <v>0</v>
      </c>
      <c r="F13" s="990">
        <f>'По Настройке'!V5</f>
        <v>0</v>
      </c>
      <c r="G13" s="1045">
        <f>'По Настройке'!W5</f>
        <v>0</v>
      </c>
      <c r="H13" s="923">
        <f>'По Настройке'!AA5</f>
        <v>21000</v>
      </c>
      <c r="I13" s="924">
        <f>'По Настройке'!AB5</f>
        <v>6342</v>
      </c>
      <c r="J13" s="923">
        <f>'По Настройке'!AF5</f>
        <v>0</v>
      </c>
      <c r="K13" s="1048">
        <f>'По Настройке'!AG5</f>
        <v>0</v>
      </c>
      <c r="L13" s="923">
        <f>'По Настройке'!AK5</f>
        <v>0</v>
      </c>
      <c r="M13" s="1048">
        <f>'По Настройке'!AL5</f>
        <v>0</v>
      </c>
      <c r="N13" s="922">
        <f>'По Настройке'!AP5</f>
        <v>0</v>
      </c>
      <c r="O13" s="1043">
        <f>'По Настройке'!AQ5</f>
        <v>0</v>
      </c>
      <c r="P13" s="923">
        <f>'По Настройке'!AU5</f>
        <v>0</v>
      </c>
      <c r="Q13" s="924">
        <f>'По Настройке'!AV5</f>
        <v>0</v>
      </c>
      <c r="R13" s="922">
        <f>'По Настройке'!AZ5</f>
        <v>0</v>
      </c>
      <c r="S13" s="1043">
        <f>'По Настройке'!BA5</f>
        <v>0</v>
      </c>
      <c r="T13" s="923">
        <f>'По Настройке'!BE5</f>
        <v>0</v>
      </c>
      <c r="U13" s="924">
        <f>'По Настройке'!BF5</f>
        <v>0</v>
      </c>
      <c r="V13" s="1053">
        <f>N13+L13+J13+H13+F13+D13+R13+P13+T13</f>
        <v>21000</v>
      </c>
      <c r="W13" s="926">
        <f>S13+Q13+O13+M13+K13+I13+G13+E13+U13</f>
        <v>6342</v>
      </c>
      <c r="X13" s="922">
        <f>'По Настройке'!BJ5</f>
        <v>0</v>
      </c>
      <c r="Y13" s="922">
        <f>'По Настройке'!BK5</f>
        <v>0</v>
      </c>
      <c r="Z13" s="925">
        <f>X13</f>
        <v>0</v>
      </c>
      <c r="AA13" s="926">
        <f>Y13</f>
        <v>0</v>
      </c>
      <c r="AB13" s="925">
        <f t="shared" ref="AB13:AB25" si="0">V13+Z13</f>
        <v>21000</v>
      </c>
      <c r="AC13" s="927">
        <f t="shared" ref="AC13:AC25" si="1">W13+AA13</f>
        <v>6342</v>
      </c>
      <c r="AD13" s="991">
        <f>AC13/AB13*100</f>
        <v>30.2</v>
      </c>
    </row>
    <row r="14" spans="1:30" ht="36" x14ac:dyDescent="0.2">
      <c r="A14" s="928">
        <v>2</v>
      </c>
      <c r="B14" s="989" t="str">
        <f>'По Настройке'!L6</f>
        <v>Руководитель проектов</v>
      </c>
      <c r="C14" s="920" t="str">
        <f>'По Настройке'!M6</f>
        <v>Отдел управления проектами и внедрения</v>
      </c>
      <c r="D14" s="922">
        <f>'По Настройке'!Q6</f>
        <v>21364.01</v>
      </c>
      <c r="E14" s="1043">
        <f>'По Настройке'!R6</f>
        <v>6451.93</v>
      </c>
      <c r="F14" s="992">
        <f>'По Настройке'!V6</f>
        <v>30000</v>
      </c>
      <c r="G14" s="1046">
        <f>'По Настройке'!W6</f>
        <v>9060</v>
      </c>
      <c r="H14" s="929">
        <f>'По Настройке'!AA6</f>
        <v>30000</v>
      </c>
      <c r="I14" s="930">
        <f>'По Настройке'!AB6</f>
        <v>9060</v>
      </c>
      <c r="J14" s="921">
        <f>'По Настройке'!AF6</f>
        <v>30000</v>
      </c>
      <c r="K14" s="1049">
        <f>'По Настройке'!AG6</f>
        <v>9060</v>
      </c>
      <c r="L14" s="921">
        <f>'По Настройке'!AK6</f>
        <v>30000</v>
      </c>
      <c r="M14" s="1049">
        <f>'По Настройке'!AL6</f>
        <v>9060</v>
      </c>
      <c r="N14" s="922">
        <f>'По Настройке'!AP6</f>
        <v>30000</v>
      </c>
      <c r="O14" s="1043">
        <f>'По Настройке'!AQ6</f>
        <v>9060</v>
      </c>
      <c r="P14" s="929">
        <f>'По Настройке'!AU6</f>
        <v>30000</v>
      </c>
      <c r="Q14" s="930">
        <f>'По Настройке'!AV6</f>
        <v>9060</v>
      </c>
      <c r="R14" s="922">
        <f>'По Настройке'!AZ6</f>
        <v>35000</v>
      </c>
      <c r="S14" s="1043">
        <f>'По Настройке'!BA6</f>
        <v>10570</v>
      </c>
      <c r="T14" s="929">
        <f>'По Настройке'!BE6</f>
        <v>35000</v>
      </c>
      <c r="U14" s="930">
        <f>'По Настройке'!BF6</f>
        <v>10570</v>
      </c>
      <c r="V14" s="1053">
        <f t="shared" ref="V14:V25" si="2">N14+L14+J14+H14+F14+D14+R14+P14+T14</f>
        <v>271364.01</v>
      </c>
      <c r="W14" s="926">
        <f t="shared" ref="W14:W25" si="3">S14+Q14+O14+M14+K14+I14+G14+E14+U14</f>
        <v>81951.929999999993</v>
      </c>
      <c r="X14" s="922">
        <f>'По Настройке'!BJ6</f>
        <v>35000</v>
      </c>
      <c r="Y14" s="922">
        <f>'По Настройке'!BK6</f>
        <v>10570</v>
      </c>
      <c r="Z14" s="925">
        <f t="shared" ref="Z14:Z25" si="4">X14</f>
        <v>35000</v>
      </c>
      <c r="AA14" s="926">
        <f t="shared" ref="AA14:AA25" si="5">Y14</f>
        <v>10570</v>
      </c>
      <c r="AB14" s="925">
        <f t="shared" si="0"/>
        <v>306364.01</v>
      </c>
      <c r="AC14" s="927">
        <f t="shared" si="1"/>
        <v>92521.93</v>
      </c>
      <c r="AD14" s="991">
        <f t="shared" ref="AD14:AD26" si="6">AC14/AB14*100</f>
        <v>30.2</v>
      </c>
    </row>
    <row r="15" spans="1:30" ht="24" x14ac:dyDescent="0.2">
      <c r="A15" s="919">
        <v>3</v>
      </c>
      <c r="B15" s="989" t="str">
        <f>'По Настройке'!L7</f>
        <v>Программист</v>
      </c>
      <c r="C15" s="920" t="str">
        <f>'По Настройке'!M7</f>
        <v>Отдел разработки и технологий</v>
      </c>
      <c r="D15" s="922">
        <f>'По Настройке'!Q7</f>
        <v>0</v>
      </c>
      <c r="E15" s="1043">
        <f>'По Настройке'!R7</f>
        <v>0</v>
      </c>
      <c r="F15" s="992">
        <f>'По Настройке'!V7</f>
        <v>0</v>
      </c>
      <c r="G15" s="1046">
        <f>'По Настройке'!W7</f>
        <v>0</v>
      </c>
      <c r="H15" s="929">
        <f>'По Настройке'!AA7</f>
        <v>0</v>
      </c>
      <c r="I15" s="930">
        <f>'По Настройке'!AB7</f>
        <v>0</v>
      </c>
      <c r="J15" s="921">
        <f>'По Настройке'!AF7</f>
        <v>0</v>
      </c>
      <c r="K15" s="1049">
        <f>'По Настройке'!AG7</f>
        <v>0</v>
      </c>
      <c r="L15" s="921">
        <f>'По Настройке'!AK7</f>
        <v>7500</v>
      </c>
      <c r="M15" s="1049">
        <f>'По Настройке'!AL7</f>
        <v>2265</v>
      </c>
      <c r="N15" s="922">
        <f>'По Настройке'!AP7</f>
        <v>0</v>
      </c>
      <c r="O15" s="1043">
        <f>'По Настройке'!AQ7</f>
        <v>0</v>
      </c>
      <c r="P15" s="929">
        <f>'По Настройке'!AU7</f>
        <v>13500</v>
      </c>
      <c r="Q15" s="930">
        <f>'По Настройке'!AV7</f>
        <v>4077</v>
      </c>
      <c r="R15" s="922">
        <f>'По Настройке'!AZ7</f>
        <v>30000</v>
      </c>
      <c r="S15" s="1043">
        <f>'По Настройке'!BA7</f>
        <v>9060</v>
      </c>
      <c r="T15" s="929">
        <f>'По Настройке'!BE7</f>
        <v>29192.400000000001</v>
      </c>
      <c r="U15" s="930">
        <f>'По Настройке'!BF7</f>
        <v>8816.1</v>
      </c>
      <c r="V15" s="1053">
        <f t="shared" si="2"/>
        <v>80192.399999999994</v>
      </c>
      <c r="W15" s="926">
        <f t="shared" si="3"/>
        <v>24218.1</v>
      </c>
      <c r="X15" s="922">
        <f>'По Настройке'!BJ7</f>
        <v>30788.91</v>
      </c>
      <c r="Y15" s="922">
        <f>'По Настройке'!BK7</f>
        <v>9298.25</v>
      </c>
      <c r="Z15" s="925">
        <f t="shared" si="4"/>
        <v>30788.91</v>
      </c>
      <c r="AA15" s="926">
        <f t="shared" si="5"/>
        <v>9298.25</v>
      </c>
      <c r="AB15" s="925">
        <f t="shared" si="0"/>
        <v>110981.31</v>
      </c>
      <c r="AC15" s="927">
        <f t="shared" si="1"/>
        <v>33516.35</v>
      </c>
      <c r="AD15" s="991">
        <f t="shared" si="6"/>
        <v>30.2</v>
      </c>
    </row>
    <row r="16" spans="1:30" ht="36" x14ac:dyDescent="0.2">
      <c r="A16" s="928">
        <v>4</v>
      </c>
      <c r="B16" s="989" t="str">
        <f>'По Настройке'!L8</f>
        <v>Руководитель проектов</v>
      </c>
      <c r="C16" s="920" t="str">
        <f>'По Настройке'!M8</f>
        <v>Отдел управления проектами и внедрения</v>
      </c>
      <c r="D16" s="922">
        <f>'По Настройке'!Q8</f>
        <v>0</v>
      </c>
      <c r="E16" s="1043">
        <f>'По Настройке'!R8</f>
        <v>0</v>
      </c>
      <c r="F16" s="992">
        <f>'По Настройке'!V8</f>
        <v>0</v>
      </c>
      <c r="G16" s="1046">
        <f>'По Настройке'!W8</f>
        <v>0</v>
      </c>
      <c r="H16" s="929">
        <f>'По Настройке'!AA8</f>
        <v>6381.54</v>
      </c>
      <c r="I16" s="930">
        <f>'По Настройке'!AB8</f>
        <v>1927.23</v>
      </c>
      <c r="J16" s="921">
        <f>'По Настройке'!AF8</f>
        <v>6600</v>
      </c>
      <c r="K16" s="1049">
        <f>'По Настройке'!AG8</f>
        <v>1993.2</v>
      </c>
      <c r="L16" s="921">
        <f>'По Настройке'!AK8</f>
        <v>6142.79</v>
      </c>
      <c r="M16" s="1049">
        <f>'По Настройке'!AL8</f>
        <v>1855.12</v>
      </c>
      <c r="N16" s="922">
        <f>'По Настройке'!AP8</f>
        <v>6600</v>
      </c>
      <c r="O16" s="1043">
        <f>'По Настройке'!AQ8</f>
        <v>1993.2</v>
      </c>
      <c r="P16" s="929">
        <f>'По Настройке'!AU8</f>
        <v>13200</v>
      </c>
      <c r="Q16" s="930">
        <f>'По Настройке'!AV8</f>
        <v>1830.27</v>
      </c>
      <c r="R16" s="922">
        <f>'По Настройке'!AZ8</f>
        <v>38500</v>
      </c>
      <c r="S16" s="1043">
        <f>'По Настройке'!BA8</f>
        <v>3927</v>
      </c>
      <c r="T16" s="929">
        <f>'По Настройке'!BE8</f>
        <v>38500</v>
      </c>
      <c r="U16" s="930">
        <f>'По Настройке'!BF8</f>
        <v>3927</v>
      </c>
      <c r="V16" s="1053">
        <f t="shared" si="2"/>
        <v>115924.33</v>
      </c>
      <c r="W16" s="926">
        <f t="shared" si="3"/>
        <v>17453.02</v>
      </c>
      <c r="X16" s="922">
        <f>'По Настройке'!BJ8</f>
        <v>33776.959999999999</v>
      </c>
      <c r="Y16" s="922">
        <f>'По Настройке'!BK8</f>
        <v>3445.25</v>
      </c>
      <c r="Z16" s="925">
        <f t="shared" si="4"/>
        <v>33776.959999999999</v>
      </c>
      <c r="AA16" s="926">
        <f t="shared" si="5"/>
        <v>3445.25</v>
      </c>
      <c r="AB16" s="925">
        <f t="shared" si="0"/>
        <v>149701.29</v>
      </c>
      <c r="AC16" s="927">
        <f t="shared" si="1"/>
        <v>20898.27</v>
      </c>
      <c r="AD16" s="991">
        <f t="shared" si="6"/>
        <v>13.96</v>
      </c>
    </row>
    <row r="17" spans="1:31" ht="24" x14ac:dyDescent="0.2">
      <c r="A17" s="919">
        <v>5</v>
      </c>
      <c r="B17" s="989" t="str">
        <f>'По Настройке'!L9</f>
        <v>Системный аналитик</v>
      </c>
      <c r="C17" s="920" t="str">
        <f>'По Настройке'!M9</f>
        <v>Группа аналитики и консалтинга</v>
      </c>
      <c r="D17" s="922">
        <f>'По Настройке'!Q9</f>
        <v>0</v>
      </c>
      <c r="E17" s="1043">
        <f>'По Настройке'!R9</f>
        <v>0</v>
      </c>
      <c r="F17" s="992">
        <f>'По Настройке'!V9</f>
        <v>4950</v>
      </c>
      <c r="G17" s="1046">
        <f>'По Настройке'!W9</f>
        <v>1494.9</v>
      </c>
      <c r="H17" s="929">
        <f>'По Настройке'!AA9</f>
        <v>0</v>
      </c>
      <c r="I17" s="930">
        <f>'По Настройке'!AB9</f>
        <v>0</v>
      </c>
      <c r="J17" s="921">
        <f>'По Настройке'!AF9</f>
        <v>0</v>
      </c>
      <c r="K17" s="1049">
        <f>'По Настройке'!AG9</f>
        <v>0</v>
      </c>
      <c r="L17" s="921">
        <f>'По Настройке'!AK9</f>
        <v>0</v>
      </c>
      <c r="M17" s="1049">
        <f>'По Настройке'!AL9</f>
        <v>0</v>
      </c>
      <c r="N17" s="922">
        <f>'По Настройке'!AP9</f>
        <v>1650</v>
      </c>
      <c r="O17" s="1043">
        <f>'По Настройке'!AQ9</f>
        <v>498.3</v>
      </c>
      <c r="P17" s="929">
        <f>'По Настройке'!AU9</f>
        <v>0</v>
      </c>
      <c r="Q17" s="930">
        <f>'По Настройке'!AV9</f>
        <v>0</v>
      </c>
      <c r="R17" s="922">
        <f>'По Настройке'!AZ9</f>
        <v>0</v>
      </c>
      <c r="S17" s="1043">
        <f>'По Настройке'!BA9</f>
        <v>0</v>
      </c>
      <c r="T17" s="929">
        <f>'По Настройке'!BE9</f>
        <v>0</v>
      </c>
      <c r="U17" s="930">
        <f>'По Настройке'!BF9</f>
        <v>0</v>
      </c>
      <c r="V17" s="1053">
        <f t="shared" si="2"/>
        <v>6600</v>
      </c>
      <c r="W17" s="926">
        <f t="shared" si="3"/>
        <v>1993.2</v>
      </c>
      <c r="X17" s="922">
        <f>'По Настройке'!BJ9</f>
        <v>0</v>
      </c>
      <c r="Y17" s="922">
        <f>'По Настройке'!BK9</f>
        <v>0</v>
      </c>
      <c r="Z17" s="925">
        <f t="shared" si="4"/>
        <v>0</v>
      </c>
      <c r="AA17" s="926">
        <f t="shared" si="5"/>
        <v>0</v>
      </c>
      <c r="AB17" s="925">
        <f t="shared" si="0"/>
        <v>6600</v>
      </c>
      <c r="AC17" s="927">
        <f t="shared" si="1"/>
        <v>1993.2</v>
      </c>
      <c r="AD17" s="991">
        <f t="shared" si="6"/>
        <v>30.2</v>
      </c>
    </row>
    <row r="18" spans="1:31" ht="36" x14ac:dyDescent="0.2">
      <c r="A18" s="928">
        <v>6</v>
      </c>
      <c r="B18" s="989" t="str">
        <f>'По Настройке'!L10</f>
        <v>Специалист по тестированию</v>
      </c>
      <c r="C18" s="920" t="str">
        <f>'По Настройке'!M10</f>
        <v>Группа тестирования и оценки качества</v>
      </c>
      <c r="D18" s="922">
        <f>'По Настройке'!Q10</f>
        <v>0</v>
      </c>
      <c r="E18" s="1043">
        <f>'По Настройке'!R10</f>
        <v>0</v>
      </c>
      <c r="F18" s="992">
        <f>'По Настройке'!V10</f>
        <v>0</v>
      </c>
      <c r="G18" s="1046">
        <f>'По Настройке'!W10</f>
        <v>0</v>
      </c>
      <c r="H18" s="929">
        <f>'По Настройке'!AA10</f>
        <v>0</v>
      </c>
      <c r="I18" s="930">
        <f>'По Настройке'!AB10</f>
        <v>0</v>
      </c>
      <c r="J18" s="921">
        <f>'По Настройке'!AF10</f>
        <v>6250</v>
      </c>
      <c r="K18" s="1049">
        <f>'По Настройке'!AG10</f>
        <v>1887.5</v>
      </c>
      <c r="L18" s="921">
        <f>'По Настройке'!AK10</f>
        <v>0</v>
      </c>
      <c r="M18" s="1049">
        <f>'По Настройке'!AL10</f>
        <v>0</v>
      </c>
      <c r="N18" s="922">
        <f>'По Настройке'!AP10</f>
        <v>0</v>
      </c>
      <c r="O18" s="1043">
        <f>'По Настройке'!AQ10</f>
        <v>0</v>
      </c>
      <c r="P18" s="929">
        <f>'По Настройке'!AU10</f>
        <v>0</v>
      </c>
      <c r="Q18" s="930">
        <f>'По Настройке'!AV10</f>
        <v>0</v>
      </c>
      <c r="R18" s="922">
        <f>'По Настройке'!AZ10</f>
        <v>0</v>
      </c>
      <c r="S18" s="1043">
        <f>'По Настройке'!BA10</f>
        <v>0</v>
      </c>
      <c r="T18" s="929">
        <f>'По Настройке'!BE10</f>
        <v>0</v>
      </c>
      <c r="U18" s="930">
        <f>'По Настройке'!BF10</f>
        <v>0</v>
      </c>
      <c r="V18" s="1053">
        <f t="shared" si="2"/>
        <v>6250</v>
      </c>
      <c r="W18" s="926">
        <f t="shared" si="3"/>
        <v>1887.5</v>
      </c>
      <c r="X18" s="922">
        <f>'По Настройке'!BJ10</f>
        <v>0</v>
      </c>
      <c r="Y18" s="922">
        <f>'По Настройке'!BK10</f>
        <v>0</v>
      </c>
      <c r="Z18" s="925">
        <f t="shared" si="4"/>
        <v>0</v>
      </c>
      <c r="AA18" s="926">
        <f t="shared" si="5"/>
        <v>0</v>
      </c>
      <c r="AB18" s="925">
        <f t="shared" si="0"/>
        <v>6250</v>
      </c>
      <c r="AC18" s="927">
        <f t="shared" si="1"/>
        <v>1887.5</v>
      </c>
      <c r="AD18" s="991">
        <f t="shared" si="6"/>
        <v>30.2</v>
      </c>
    </row>
    <row r="19" spans="1:31" ht="36" x14ac:dyDescent="0.2">
      <c r="A19" s="919">
        <v>7</v>
      </c>
      <c r="B19" s="989" t="str">
        <f>'По Настройке'!L11</f>
        <v>Инженер-программист</v>
      </c>
      <c r="C19" s="920" t="str">
        <f>'По Настройке'!M11</f>
        <v>Отдел управления проектами и внедрения</v>
      </c>
      <c r="D19" s="922">
        <f>'По Настройке'!Q11</f>
        <v>8250</v>
      </c>
      <c r="E19" s="1043">
        <f>'По Настройке'!R11</f>
        <v>2491.5</v>
      </c>
      <c r="F19" s="992">
        <f>'По Настройке'!V11</f>
        <v>0</v>
      </c>
      <c r="G19" s="1046">
        <f>'По Настройке'!W11</f>
        <v>0</v>
      </c>
      <c r="H19" s="929">
        <f>'По Настройке'!AA11</f>
        <v>0</v>
      </c>
      <c r="I19" s="930">
        <f>'По Настройке'!AB11</f>
        <v>0</v>
      </c>
      <c r="J19" s="921">
        <f>'По Настройке'!AF11</f>
        <v>0</v>
      </c>
      <c r="K19" s="1049">
        <f>'По Настройке'!AG11</f>
        <v>0</v>
      </c>
      <c r="L19" s="921">
        <f>'По Настройке'!AK11</f>
        <v>14669</v>
      </c>
      <c r="M19" s="1049">
        <f>'По Настройке'!AL11</f>
        <v>4430.04</v>
      </c>
      <c r="N19" s="922">
        <f>'По Настройке'!AP11</f>
        <v>15125</v>
      </c>
      <c r="O19" s="1043">
        <f>'По Настройке'!AQ11</f>
        <v>4567.75</v>
      </c>
      <c r="P19" s="929">
        <f>'По Настройке'!AU11</f>
        <v>0</v>
      </c>
      <c r="Q19" s="930">
        <f>'По Настройке'!AV11</f>
        <v>0</v>
      </c>
      <c r="R19" s="922">
        <f>'По Настройке'!AZ11</f>
        <v>0</v>
      </c>
      <c r="S19" s="1043">
        <f>'По Настройке'!BA11</f>
        <v>0</v>
      </c>
      <c r="T19" s="929">
        <f>'По Настройке'!BE11</f>
        <v>0</v>
      </c>
      <c r="U19" s="930">
        <f>'По Настройке'!BF11</f>
        <v>0</v>
      </c>
      <c r="V19" s="1053">
        <f t="shared" si="2"/>
        <v>38044</v>
      </c>
      <c r="W19" s="926">
        <f t="shared" si="3"/>
        <v>11489.29</v>
      </c>
      <c r="X19" s="922">
        <f>'По Настройке'!BJ11</f>
        <v>0</v>
      </c>
      <c r="Y19" s="922">
        <f>'По Настройке'!BK11</f>
        <v>0</v>
      </c>
      <c r="Z19" s="925">
        <f t="shared" si="4"/>
        <v>0</v>
      </c>
      <c r="AA19" s="926">
        <f t="shared" si="5"/>
        <v>0</v>
      </c>
      <c r="AB19" s="925">
        <f t="shared" si="0"/>
        <v>38044</v>
      </c>
      <c r="AC19" s="927">
        <f t="shared" si="1"/>
        <v>11489.29</v>
      </c>
      <c r="AD19" s="991">
        <f t="shared" si="6"/>
        <v>30.2</v>
      </c>
    </row>
    <row r="20" spans="1:31" ht="24" x14ac:dyDescent="0.2">
      <c r="A20" s="928">
        <v>8</v>
      </c>
      <c r="B20" s="989" t="str">
        <f>'По Настройке'!L12</f>
        <v>Ведущий специалист</v>
      </c>
      <c r="C20" s="920" t="str">
        <f>'По Настройке'!M12</f>
        <v>Отдел разработки и технологий</v>
      </c>
      <c r="D20" s="922">
        <f>'По Настройке'!Q12</f>
        <v>0</v>
      </c>
      <c r="E20" s="1043">
        <f>'По Настройке'!R12</f>
        <v>0</v>
      </c>
      <c r="F20" s="992">
        <f>'По Настройке'!V12</f>
        <v>0</v>
      </c>
      <c r="G20" s="1046">
        <f>'По Настройке'!W12</f>
        <v>0</v>
      </c>
      <c r="H20" s="929">
        <f>'По Настройке'!AA12</f>
        <v>17500</v>
      </c>
      <c r="I20" s="930">
        <f>'По Настройке'!AB12</f>
        <v>5285</v>
      </c>
      <c r="J20" s="921">
        <f>'По Настройке'!AF12</f>
        <v>18043.8</v>
      </c>
      <c r="K20" s="1049">
        <f>'По Настройке'!AG12</f>
        <v>5449.23</v>
      </c>
      <c r="L20" s="921">
        <f>'По Настройке'!AK12</f>
        <v>2727.27</v>
      </c>
      <c r="M20" s="1049">
        <f>'По Настройке'!AL12</f>
        <v>823.64</v>
      </c>
      <c r="N20" s="922">
        <f>'По Настройке'!AP12</f>
        <v>17373.95</v>
      </c>
      <c r="O20" s="1043">
        <f>'По Настройке'!AQ12</f>
        <v>5246.93</v>
      </c>
      <c r="P20" s="929">
        <f>'По Настройке'!AU12</f>
        <v>25000</v>
      </c>
      <c r="Q20" s="930">
        <f>'По Настройке'!AV12</f>
        <v>7550</v>
      </c>
      <c r="R20" s="922">
        <f>'По Настройке'!AZ12</f>
        <v>0</v>
      </c>
      <c r="S20" s="1043">
        <f>'По Настройке'!BA12</f>
        <v>0</v>
      </c>
      <c r="T20" s="929">
        <f>'По Настройке'!BE12</f>
        <v>0</v>
      </c>
      <c r="U20" s="930">
        <f>'По Настройке'!BF12</f>
        <v>0</v>
      </c>
      <c r="V20" s="1053">
        <f t="shared" si="2"/>
        <v>80645.02</v>
      </c>
      <c r="W20" s="926">
        <f t="shared" si="3"/>
        <v>24354.799999999999</v>
      </c>
      <c r="X20" s="922">
        <f>'По Настройке'!BJ12</f>
        <v>0</v>
      </c>
      <c r="Y20" s="922">
        <f>'По Настройке'!BK12</f>
        <v>0</v>
      </c>
      <c r="Z20" s="925">
        <f t="shared" si="4"/>
        <v>0</v>
      </c>
      <c r="AA20" s="926">
        <f t="shared" si="5"/>
        <v>0</v>
      </c>
      <c r="AB20" s="925">
        <f t="shared" si="0"/>
        <v>80645.02</v>
      </c>
      <c r="AC20" s="927">
        <f t="shared" si="1"/>
        <v>24354.799999999999</v>
      </c>
      <c r="AD20" s="991">
        <f t="shared" si="6"/>
        <v>30.2</v>
      </c>
    </row>
    <row r="21" spans="1:31" ht="24" x14ac:dyDescent="0.2">
      <c r="A21" s="919">
        <v>9</v>
      </c>
      <c r="B21" s="989" t="str">
        <f>'По Настройке'!L13</f>
        <v>Руководитель отдела</v>
      </c>
      <c r="C21" s="920" t="str">
        <f>'По Настройке'!M13</f>
        <v>Отдел разработки и технологий</v>
      </c>
      <c r="D21" s="922">
        <f>'По Настройке'!Q13</f>
        <v>0</v>
      </c>
      <c r="E21" s="1043">
        <f>'По Настройке'!R13</f>
        <v>0</v>
      </c>
      <c r="F21" s="992">
        <f>'По Настройке'!V13</f>
        <v>14850</v>
      </c>
      <c r="G21" s="1046">
        <f>'По Настройке'!W13</f>
        <v>4484.7</v>
      </c>
      <c r="H21" s="929">
        <f>'По Настройке'!AA13</f>
        <v>14850</v>
      </c>
      <c r="I21" s="930">
        <f>'По Настройке'!AB13</f>
        <v>4484.7</v>
      </c>
      <c r="J21" s="921">
        <f>'По Настройке'!AF13</f>
        <v>0</v>
      </c>
      <c r="K21" s="1049">
        <f>'По Настройке'!AG13</f>
        <v>0</v>
      </c>
      <c r="L21" s="921">
        <f>'По Настройке'!AK13</f>
        <v>4950</v>
      </c>
      <c r="M21" s="1049">
        <f>'По Настройке'!AL13</f>
        <v>504.9</v>
      </c>
      <c r="N21" s="922">
        <f>'По Настройке'!AP13</f>
        <v>0</v>
      </c>
      <c r="O21" s="1043">
        <f>'По Настройке'!AQ13</f>
        <v>0</v>
      </c>
      <c r="P21" s="929">
        <f>'По Настройке'!AU13</f>
        <v>4950</v>
      </c>
      <c r="Q21" s="930">
        <f>'По Настройке'!AV13</f>
        <v>504.9</v>
      </c>
      <c r="R21" s="922">
        <f>'По Настройке'!AZ13</f>
        <v>0</v>
      </c>
      <c r="S21" s="1043">
        <f>'По Настройке'!BA13</f>
        <v>0</v>
      </c>
      <c r="T21" s="929">
        <f>'По Настройке'!BE13</f>
        <v>0</v>
      </c>
      <c r="U21" s="930">
        <f>'По Настройке'!BF13</f>
        <v>0</v>
      </c>
      <c r="V21" s="1053">
        <f t="shared" si="2"/>
        <v>39600</v>
      </c>
      <c r="W21" s="926">
        <f t="shared" si="3"/>
        <v>9979.2000000000007</v>
      </c>
      <c r="X21" s="922">
        <f>'По Настройке'!BJ13</f>
        <v>0</v>
      </c>
      <c r="Y21" s="922">
        <f>'По Настройке'!BK13</f>
        <v>0</v>
      </c>
      <c r="Z21" s="925">
        <f t="shared" si="4"/>
        <v>0</v>
      </c>
      <c r="AA21" s="926">
        <f t="shared" si="5"/>
        <v>0</v>
      </c>
      <c r="AB21" s="925">
        <f t="shared" si="0"/>
        <v>39600</v>
      </c>
      <c r="AC21" s="927">
        <f t="shared" si="1"/>
        <v>9979.2000000000007</v>
      </c>
      <c r="AD21" s="991">
        <f t="shared" si="6"/>
        <v>25.2</v>
      </c>
    </row>
    <row r="22" spans="1:31" ht="36" x14ac:dyDescent="0.2">
      <c r="A22" s="928">
        <v>10</v>
      </c>
      <c r="B22" s="989" t="str">
        <f>'По Настройке'!L14</f>
        <v>Главный специалист</v>
      </c>
      <c r="C22" s="920" t="str">
        <f>'По Настройке'!M14</f>
        <v>Отдел управления проектами и внедрения</v>
      </c>
      <c r="D22" s="922">
        <f>'По Настройке'!Q14</f>
        <v>0</v>
      </c>
      <c r="E22" s="1043">
        <f>'По Настройке'!R14</f>
        <v>0</v>
      </c>
      <c r="F22" s="992">
        <f>'По Настройке'!V14</f>
        <v>35000</v>
      </c>
      <c r="G22" s="1046">
        <f>'По Настройке'!W14</f>
        <v>10570</v>
      </c>
      <c r="H22" s="929">
        <f>'По Настройке'!AA14</f>
        <v>0</v>
      </c>
      <c r="I22" s="930">
        <f>'По Настройке'!AB14</f>
        <v>0</v>
      </c>
      <c r="J22" s="921">
        <f>'По Настройке'!AF14</f>
        <v>24500</v>
      </c>
      <c r="K22" s="1049">
        <f>'По Настройке'!AG14</f>
        <v>7399</v>
      </c>
      <c r="L22" s="921">
        <f>'По Настройке'!AK14</f>
        <v>0</v>
      </c>
      <c r="M22" s="1049">
        <f>'По Настройке'!AL14</f>
        <v>0</v>
      </c>
      <c r="N22" s="922">
        <f>'По Настройке'!AP14</f>
        <v>0</v>
      </c>
      <c r="O22" s="1043">
        <f>'По Настройке'!AQ14</f>
        <v>0</v>
      </c>
      <c r="P22" s="929">
        <f>'По Настройке'!AU14</f>
        <v>0</v>
      </c>
      <c r="Q22" s="930">
        <f>'По Настройке'!AV14</f>
        <v>0</v>
      </c>
      <c r="R22" s="922">
        <f>'По Настройке'!AZ14</f>
        <v>0</v>
      </c>
      <c r="S22" s="1043">
        <f>'По Настройке'!BA14</f>
        <v>0</v>
      </c>
      <c r="T22" s="929">
        <f>'По Настройке'!BE14</f>
        <v>0</v>
      </c>
      <c r="U22" s="930">
        <f>'По Настройке'!BF14</f>
        <v>0</v>
      </c>
      <c r="V22" s="1053">
        <f t="shared" si="2"/>
        <v>59500</v>
      </c>
      <c r="W22" s="926">
        <f t="shared" si="3"/>
        <v>17969</v>
      </c>
      <c r="X22" s="922">
        <f>'По Настройке'!BJ14</f>
        <v>0</v>
      </c>
      <c r="Y22" s="922">
        <f>'По Настройке'!BK14</f>
        <v>0</v>
      </c>
      <c r="Z22" s="925">
        <f t="shared" si="4"/>
        <v>0</v>
      </c>
      <c r="AA22" s="926">
        <f t="shared" si="5"/>
        <v>0</v>
      </c>
      <c r="AB22" s="925">
        <f t="shared" si="0"/>
        <v>59500</v>
      </c>
      <c r="AC22" s="927">
        <f t="shared" si="1"/>
        <v>17969</v>
      </c>
      <c r="AD22" s="991">
        <f t="shared" si="6"/>
        <v>30.2</v>
      </c>
    </row>
    <row r="23" spans="1:31" ht="36" x14ac:dyDescent="0.2">
      <c r="A23" s="919">
        <v>11</v>
      </c>
      <c r="B23" s="989" t="str">
        <f>'По Настройке'!L15</f>
        <v>Руководитель отдела</v>
      </c>
      <c r="C23" s="920" t="str">
        <f>'По Настройке'!M15</f>
        <v>Отдел проектирования и документирования</v>
      </c>
      <c r="D23" s="922">
        <f>'По Настройке'!Q15</f>
        <v>16274.68</v>
      </c>
      <c r="E23" s="1043">
        <f>'По Настройке'!R15</f>
        <v>4914.95</v>
      </c>
      <c r="F23" s="992">
        <f>'По Настройке'!V15</f>
        <v>0</v>
      </c>
      <c r="G23" s="1046">
        <f>'По Настройке'!W15</f>
        <v>0</v>
      </c>
      <c r="H23" s="929">
        <f>'По Настройке'!AA15</f>
        <v>14000</v>
      </c>
      <c r="I23" s="930">
        <f>'По Настройке'!AB15</f>
        <v>4228</v>
      </c>
      <c r="J23" s="921">
        <f>'По Настройке'!AF15</f>
        <v>10500</v>
      </c>
      <c r="K23" s="1049">
        <f>'По Настройке'!AG15</f>
        <v>3171</v>
      </c>
      <c r="L23" s="921">
        <f>'По Настройке'!AK15</f>
        <v>21000</v>
      </c>
      <c r="M23" s="1049">
        <f>'По Настройке'!AL15</f>
        <v>6342</v>
      </c>
      <c r="N23" s="922">
        <f>'По Настройке'!AP15</f>
        <v>0</v>
      </c>
      <c r="O23" s="1043">
        <f>'По Настройке'!AQ15</f>
        <v>0</v>
      </c>
      <c r="P23" s="929">
        <f>'По Настройке'!AU15</f>
        <v>0</v>
      </c>
      <c r="Q23" s="930">
        <f>'По Настройке'!AV15</f>
        <v>0</v>
      </c>
      <c r="R23" s="922">
        <f>'По Настройке'!AZ15</f>
        <v>0</v>
      </c>
      <c r="S23" s="1043">
        <f>'По Настройке'!BA15</f>
        <v>0</v>
      </c>
      <c r="T23" s="929">
        <f>'По Настройке'!BE15</f>
        <v>0</v>
      </c>
      <c r="U23" s="930">
        <f>'По Настройке'!BF15</f>
        <v>0</v>
      </c>
      <c r="V23" s="1053">
        <f t="shared" si="2"/>
        <v>61774.68</v>
      </c>
      <c r="W23" s="926">
        <f t="shared" si="3"/>
        <v>18655.95</v>
      </c>
      <c r="X23" s="922">
        <f>'По Настройке'!BJ15</f>
        <v>0</v>
      </c>
      <c r="Y23" s="922">
        <f>'По Настройке'!BK15</f>
        <v>0</v>
      </c>
      <c r="Z23" s="925">
        <f t="shared" si="4"/>
        <v>0</v>
      </c>
      <c r="AA23" s="926">
        <f t="shared" si="5"/>
        <v>0</v>
      </c>
      <c r="AB23" s="925">
        <f t="shared" si="0"/>
        <v>61774.68</v>
      </c>
      <c r="AC23" s="927">
        <f t="shared" si="1"/>
        <v>18655.95</v>
      </c>
      <c r="AD23" s="991">
        <f t="shared" si="6"/>
        <v>30.2</v>
      </c>
    </row>
    <row r="24" spans="1:31" ht="36" x14ac:dyDescent="0.2">
      <c r="A24" s="928">
        <v>12</v>
      </c>
      <c r="B24" s="989" t="str">
        <f>'По Настройке'!L16</f>
        <v>Инженер-программист</v>
      </c>
      <c r="C24" s="920" t="str">
        <f>'По Настройке'!M16</f>
        <v>Отдел управления проектами и внедрения</v>
      </c>
      <c r="D24" s="922">
        <f>'По Настройке'!Q16</f>
        <v>0</v>
      </c>
      <c r="E24" s="1043">
        <f>'По Настройке'!R16</f>
        <v>0</v>
      </c>
      <c r="F24" s="992">
        <f>'По Настройке'!V16</f>
        <v>6321.62</v>
      </c>
      <c r="G24" s="1046">
        <f>'По Настройке'!W16</f>
        <v>1909.13</v>
      </c>
      <c r="H24" s="929">
        <f>'По Настройке'!AA16</f>
        <v>11130.95</v>
      </c>
      <c r="I24" s="930">
        <f>'По Настройке'!AB16</f>
        <v>3361.55</v>
      </c>
      <c r="J24" s="921">
        <f>'По Настройке'!AF16</f>
        <v>10401.549999999999</v>
      </c>
      <c r="K24" s="1049">
        <f>'По Настройке'!AG16</f>
        <v>3141.27</v>
      </c>
      <c r="L24" s="921">
        <f>'По Настройке'!AK16</f>
        <v>10229.19</v>
      </c>
      <c r="M24" s="1049">
        <f>'По Настройке'!AL16</f>
        <v>3089.22</v>
      </c>
      <c r="N24" s="922">
        <f>'По Настройке'!AP16</f>
        <v>13750</v>
      </c>
      <c r="O24" s="1043">
        <f>'По Настройке'!AQ16</f>
        <v>4152.5</v>
      </c>
      <c r="P24" s="929">
        <f>'По Настройке'!AU16</f>
        <v>7456.38</v>
      </c>
      <c r="Q24" s="930">
        <f>'По Настройке'!AV16</f>
        <v>2251.83</v>
      </c>
      <c r="R24" s="922">
        <f>'По Настройке'!AZ16</f>
        <v>0</v>
      </c>
      <c r="S24" s="1043">
        <f>'По Настройке'!BA16</f>
        <v>0</v>
      </c>
      <c r="T24" s="929">
        <f>'По Настройке'!BE16</f>
        <v>0</v>
      </c>
      <c r="U24" s="930">
        <f>'По Настройке'!BF16</f>
        <v>0</v>
      </c>
      <c r="V24" s="1053">
        <f t="shared" si="2"/>
        <v>59289.69</v>
      </c>
      <c r="W24" s="926">
        <f t="shared" si="3"/>
        <v>17905.5</v>
      </c>
      <c r="X24" s="922">
        <f>'По Настройке'!BJ16</f>
        <v>0</v>
      </c>
      <c r="Y24" s="922">
        <f>'По Настройке'!BK16</f>
        <v>0</v>
      </c>
      <c r="Z24" s="925">
        <f t="shared" si="4"/>
        <v>0</v>
      </c>
      <c r="AA24" s="926">
        <f t="shared" si="5"/>
        <v>0</v>
      </c>
      <c r="AB24" s="925">
        <f t="shared" si="0"/>
        <v>59289.69</v>
      </c>
      <c r="AC24" s="927">
        <f t="shared" si="1"/>
        <v>17905.5</v>
      </c>
      <c r="AD24" s="991">
        <f t="shared" si="6"/>
        <v>30.2</v>
      </c>
    </row>
    <row r="25" spans="1:31" ht="36.75" thickBot="1" x14ac:dyDescent="0.25">
      <c r="A25" s="919">
        <v>13</v>
      </c>
      <c r="B25" s="989" t="str">
        <f>'По Настройке'!L17</f>
        <v>Главный специалист</v>
      </c>
      <c r="C25" s="920" t="str">
        <f>'По Настройке'!M17</f>
        <v>Отдел проектирования и документирования</v>
      </c>
      <c r="D25" s="922">
        <f>'По Настройке'!Q17</f>
        <v>0</v>
      </c>
      <c r="E25" s="1043">
        <f>'По Настройке'!R17</f>
        <v>0</v>
      </c>
      <c r="F25" s="993">
        <f>'По Настройке'!V17</f>
        <v>0</v>
      </c>
      <c r="G25" s="1047">
        <f>'По Настройке'!W17</f>
        <v>0</v>
      </c>
      <c r="H25" s="932">
        <f>'По Настройке'!AA17</f>
        <v>0</v>
      </c>
      <c r="I25" s="933">
        <f>'По Настройке'!AB17</f>
        <v>0</v>
      </c>
      <c r="J25" s="1050">
        <f>'По Настройке'!AF17</f>
        <v>30000</v>
      </c>
      <c r="K25" s="1051">
        <f>'По Настройке'!AG17</f>
        <v>9060</v>
      </c>
      <c r="L25" s="1050">
        <f>'По Настройке'!AK17</f>
        <v>15000</v>
      </c>
      <c r="M25" s="1051">
        <f>'По Настройке'!AL17</f>
        <v>4530</v>
      </c>
      <c r="N25" s="922">
        <f>'По Настройке'!AP17</f>
        <v>30000</v>
      </c>
      <c r="O25" s="1043">
        <f>'По Настройке'!AQ17</f>
        <v>9060</v>
      </c>
      <c r="P25" s="932">
        <f>'По Настройке'!AU17</f>
        <v>0</v>
      </c>
      <c r="Q25" s="933">
        <f>'По Настройке'!AV17</f>
        <v>0</v>
      </c>
      <c r="R25" s="922">
        <f>'По Настройке'!AZ17</f>
        <v>0</v>
      </c>
      <c r="S25" s="1043">
        <f>'По Настройке'!BA17</f>
        <v>0</v>
      </c>
      <c r="T25" s="932">
        <f>'По Настройке'!BE17</f>
        <v>0</v>
      </c>
      <c r="U25" s="933">
        <f>'[5]По Реалист'!CE17</f>
        <v>0</v>
      </c>
      <c r="V25" s="1053">
        <f t="shared" si="2"/>
        <v>75000</v>
      </c>
      <c r="W25" s="926">
        <f t="shared" si="3"/>
        <v>22650</v>
      </c>
      <c r="X25" s="922">
        <f>'По Настройке'!BJ17</f>
        <v>0</v>
      </c>
      <c r="Y25" s="922">
        <f>'По Настройке'!BK17</f>
        <v>0</v>
      </c>
      <c r="Z25" s="925">
        <f t="shared" si="4"/>
        <v>0</v>
      </c>
      <c r="AA25" s="926">
        <f t="shared" si="5"/>
        <v>0</v>
      </c>
      <c r="AB25" s="925">
        <f t="shared" si="0"/>
        <v>75000</v>
      </c>
      <c r="AC25" s="927">
        <f t="shared" si="1"/>
        <v>22650</v>
      </c>
      <c r="AD25" s="991">
        <f t="shared" si="6"/>
        <v>30.2</v>
      </c>
    </row>
    <row r="26" spans="1:31" ht="13.5" thickBot="1" x14ac:dyDescent="0.25">
      <c r="A26" s="1107" t="s">
        <v>30</v>
      </c>
      <c r="B26" s="1108"/>
      <c r="C26" s="1109"/>
      <c r="D26" s="936">
        <f t="shared" ref="D26:AC26" si="7">SUM(D13:D25)</f>
        <v>45888.69</v>
      </c>
      <c r="E26" s="937">
        <f t="shared" si="7"/>
        <v>13858.38</v>
      </c>
      <c r="F26" s="994">
        <f t="shared" si="7"/>
        <v>91121.62</v>
      </c>
      <c r="G26" s="995">
        <f t="shared" si="7"/>
        <v>27518.73</v>
      </c>
      <c r="H26" s="996">
        <f t="shared" si="7"/>
        <v>114862.49</v>
      </c>
      <c r="I26" s="997">
        <f t="shared" si="7"/>
        <v>34688.480000000003</v>
      </c>
      <c r="J26" s="934">
        <f t="shared" si="7"/>
        <v>136295.35</v>
      </c>
      <c r="K26" s="935">
        <f t="shared" si="7"/>
        <v>41161.199999999997</v>
      </c>
      <c r="L26" s="936">
        <f t="shared" si="7"/>
        <v>112218.25</v>
      </c>
      <c r="M26" s="935">
        <f t="shared" si="7"/>
        <v>32899.919999999998</v>
      </c>
      <c r="N26" s="936">
        <f t="shared" si="7"/>
        <v>114498.95</v>
      </c>
      <c r="O26" s="937">
        <f t="shared" si="7"/>
        <v>34578.68</v>
      </c>
      <c r="P26" s="1052">
        <f t="shared" si="7"/>
        <v>94106.38</v>
      </c>
      <c r="Q26" s="995">
        <f t="shared" si="7"/>
        <v>25274</v>
      </c>
      <c r="R26" s="936">
        <f t="shared" si="7"/>
        <v>103500</v>
      </c>
      <c r="S26" s="937">
        <f t="shared" si="7"/>
        <v>23557</v>
      </c>
      <c r="T26" s="1052">
        <f t="shared" si="7"/>
        <v>102692.4</v>
      </c>
      <c r="U26" s="995">
        <f t="shared" si="7"/>
        <v>23313.1</v>
      </c>
      <c r="V26" s="934">
        <f t="shared" si="7"/>
        <v>915184.13</v>
      </c>
      <c r="W26" s="935">
        <f t="shared" si="7"/>
        <v>256849.49</v>
      </c>
      <c r="X26" s="936">
        <f t="shared" si="7"/>
        <v>99565.87</v>
      </c>
      <c r="Y26" s="937">
        <f t="shared" si="7"/>
        <v>23313.5</v>
      </c>
      <c r="Z26" s="934">
        <f t="shared" si="7"/>
        <v>99565.87</v>
      </c>
      <c r="AA26" s="935">
        <f t="shared" si="7"/>
        <v>23313.5</v>
      </c>
      <c r="AB26" s="934">
        <f t="shared" si="7"/>
        <v>1014750</v>
      </c>
      <c r="AC26" s="938">
        <f t="shared" si="7"/>
        <v>280162.99</v>
      </c>
      <c r="AD26" s="998">
        <f t="shared" si="6"/>
        <v>27.61</v>
      </c>
    </row>
    <row r="27" spans="1:31" x14ac:dyDescent="0.2">
      <c r="A27" s="939"/>
      <c r="B27" s="939"/>
      <c r="C27" s="939"/>
      <c r="D27" s="939"/>
      <c r="E27" s="939"/>
      <c r="F27" s="939"/>
      <c r="G27" s="939"/>
      <c r="H27" s="939"/>
      <c r="I27" s="939"/>
      <c r="J27" s="939"/>
      <c r="K27" s="939"/>
      <c r="L27" s="939"/>
      <c r="M27" s="939"/>
      <c r="N27" s="939"/>
      <c r="O27" s="939"/>
      <c r="P27" s="939"/>
      <c r="Q27" s="939"/>
      <c r="R27" s="939"/>
      <c r="S27" s="939"/>
      <c r="T27" s="939"/>
      <c r="U27" s="939"/>
      <c r="V27" s="939"/>
      <c r="W27" s="939"/>
      <c r="X27" s="939"/>
      <c r="Y27" s="939"/>
      <c r="Z27" s="939"/>
      <c r="AA27" s="939"/>
      <c r="AB27" s="939"/>
      <c r="AC27" s="939"/>
      <c r="AD27" s="939"/>
      <c r="AE27" s="45"/>
    </row>
    <row r="28" spans="1:31" x14ac:dyDescent="0.2">
      <c r="A28" s="939"/>
      <c r="B28" s="939"/>
      <c r="C28" s="939"/>
      <c r="D28" s="939"/>
      <c r="E28" s="999"/>
      <c r="F28" s="999"/>
      <c r="G28" s="999"/>
      <c r="H28" s="999"/>
      <c r="I28" s="999"/>
      <c r="J28" s="999"/>
      <c r="K28" s="999"/>
      <c r="L28" s="939"/>
      <c r="M28" s="939"/>
      <c r="N28" s="939"/>
      <c r="O28" s="939"/>
      <c r="P28" s="939"/>
      <c r="Q28" s="939"/>
      <c r="R28" s="939"/>
      <c r="S28" s="939"/>
      <c r="T28" s="939"/>
      <c r="U28" s="939"/>
      <c r="V28" s="939"/>
      <c r="W28" s="939"/>
      <c r="X28" s="939"/>
      <c r="Y28" s="939"/>
      <c r="Z28" s="939"/>
      <c r="AA28" s="939"/>
      <c r="AB28" s="939"/>
      <c r="AC28" s="939"/>
      <c r="AD28" s="939"/>
      <c r="AE28" s="45"/>
    </row>
    <row r="29" spans="1:31" ht="70.5" customHeight="1" x14ac:dyDescent="0.25">
      <c r="A29" s="547" t="s">
        <v>247</v>
      </c>
      <c r="B29" s="941"/>
      <c r="C29" s="940"/>
      <c r="E29" s="1000"/>
      <c r="F29" s="1001" t="s">
        <v>141</v>
      </c>
      <c r="G29" s="548"/>
      <c r="H29" s="548"/>
      <c r="I29" s="548"/>
      <c r="J29" s="548"/>
      <c r="K29" s="548"/>
      <c r="L29" s="548"/>
      <c r="M29" s="548"/>
      <c r="N29" s="548"/>
      <c r="O29" s="548"/>
      <c r="P29" s="548"/>
      <c r="Q29" s="548"/>
      <c r="R29" s="548"/>
      <c r="S29" s="548"/>
      <c r="T29" s="548"/>
      <c r="U29" s="548"/>
      <c r="V29" s="548"/>
      <c r="W29" s="548"/>
      <c r="X29" s="548"/>
      <c r="Y29" s="548"/>
      <c r="Z29" s="548"/>
      <c r="AA29" s="548"/>
      <c r="AB29" s="548"/>
      <c r="AC29" s="548"/>
    </row>
  </sheetData>
  <mergeCells count="17">
    <mergeCell ref="A26:C26"/>
    <mergeCell ref="L11:M11"/>
    <mergeCell ref="N11:O11"/>
    <mergeCell ref="P11:Q11"/>
    <mergeCell ref="R11:S11"/>
    <mergeCell ref="A7:AD7"/>
    <mergeCell ref="A9:AD9"/>
    <mergeCell ref="A11:A12"/>
    <mergeCell ref="B11:B12"/>
    <mergeCell ref="C11:C12"/>
    <mergeCell ref="D11:E11"/>
    <mergeCell ref="F11:G11"/>
    <mergeCell ref="H11:I11"/>
    <mergeCell ref="J11:K11"/>
    <mergeCell ref="AD11:AD12"/>
    <mergeCell ref="T11:U11"/>
    <mergeCell ref="X11:Y11"/>
  </mergeCells>
  <pageMargins left="0.23622047244094491" right="0.15748031496062992" top="0.31496062992125984" bottom="0.15748031496062992" header="0.31496062992125984" footer="0.15748031496062992"/>
  <pageSetup paperSize="9" scale="4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27"/>
  <sheetViews>
    <sheetView zoomScaleNormal="100" zoomScaleSheetLayoutView="40" workbookViewId="0">
      <selection activeCell="A24" sqref="A24"/>
    </sheetView>
  </sheetViews>
  <sheetFormatPr defaultRowHeight="12.75" x14ac:dyDescent="0.2"/>
  <cols>
    <col min="1" max="1" width="3.28515625" customWidth="1"/>
    <col min="2" max="2" width="12.42578125" bestFit="1" customWidth="1"/>
    <col min="3" max="3" width="16.42578125" customWidth="1"/>
    <col min="4" max="4" width="11.28515625" customWidth="1"/>
    <col min="5" max="5" width="10.140625" customWidth="1"/>
    <col min="6" max="6" width="11.28515625" bestFit="1" customWidth="1"/>
    <col min="7" max="7" width="10.5703125" customWidth="1"/>
    <col min="8" max="8" width="11.28515625" bestFit="1" customWidth="1"/>
    <col min="9" max="9" width="9.7109375" customWidth="1"/>
    <col min="10" max="10" width="11.28515625" bestFit="1" customWidth="1"/>
    <col min="11" max="11" width="10" customWidth="1"/>
    <col min="12" max="12" width="11.28515625" bestFit="1" customWidth="1"/>
    <col min="13" max="13" width="11.28515625" customWidth="1"/>
    <col min="14" max="14" width="11.28515625" bestFit="1" customWidth="1"/>
    <col min="15" max="15" width="11" customWidth="1"/>
    <col min="16" max="16" width="12.140625" bestFit="1" customWidth="1"/>
    <col min="17" max="17" width="10.5703125" bestFit="1" customWidth="1"/>
    <col min="18" max="18" width="11.28515625" bestFit="1" customWidth="1"/>
    <col min="19" max="19" width="10.7109375" customWidth="1"/>
    <col min="20" max="20" width="11.28515625" bestFit="1" customWidth="1"/>
    <col min="21" max="21" width="10.5703125" customWidth="1"/>
    <col min="22" max="22" width="11.28515625" bestFit="1" customWidth="1"/>
    <col min="23" max="23" width="10.5703125" customWidth="1"/>
    <col min="24" max="24" width="11.28515625" bestFit="1" customWidth="1"/>
    <col min="25" max="25" width="10.42578125" customWidth="1"/>
    <col min="26" max="26" width="12.140625" bestFit="1" customWidth="1"/>
    <col min="27" max="27" width="10.5703125" bestFit="1" customWidth="1"/>
    <col min="28" max="28" width="13.5703125" customWidth="1"/>
    <col min="29" max="29" width="13.7109375" customWidth="1"/>
    <col min="30" max="30" width="10.28515625" customWidth="1"/>
  </cols>
  <sheetData>
    <row r="1" spans="1:30" ht="15.75" x14ac:dyDescent="0.25">
      <c r="A1" s="544"/>
      <c r="B1" s="544"/>
      <c r="C1" s="544"/>
      <c r="D1" s="544"/>
      <c r="E1" s="544"/>
      <c r="F1" s="544"/>
      <c r="G1" s="544"/>
      <c r="H1" s="945" t="s">
        <v>491</v>
      </c>
      <c r="I1" s="544"/>
      <c r="J1" s="544"/>
      <c r="K1" s="544"/>
      <c r="L1" s="544"/>
      <c r="M1" s="544"/>
      <c r="N1" s="544"/>
      <c r="O1" s="544"/>
      <c r="P1" s="544"/>
      <c r="Q1" s="544"/>
      <c r="R1" s="544"/>
      <c r="S1" s="544"/>
      <c r="T1" s="544"/>
      <c r="U1" s="544"/>
      <c r="V1" s="544"/>
      <c r="W1" s="544"/>
      <c r="X1" s="544"/>
      <c r="Y1" s="544"/>
      <c r="Z1" s="544"/>
      <c r="AA1" s="544"/>
      <c r="AB1" s="544"/>
      <c r="AC1" s="945"/>
    </row>
    <row r="2" spans="1:30" ht="15.75" x14ac:dyDescent="0.25">
      <c r="A2" s="544"/>
      <c r="B2" s="544"/>
      <c r="C2" s="544"/>
      <c r="D2" s="544"/>
      <c r="E2" s="544"/>
      <c r="F2" s="544"/>
      <c r="G2" s="544"/>
      <c r="H2" s="945" t="s">
        <v>525</v>
      </c>
      <c r="I2" s="544"/>
      <c r="J2" s="544"/>
      <c r="K2" s="544"/>
      <c r="L2" s="544"/>
      <c r="M2" s="544"/>
      <c r="N2" s="544"/>
      <c r="O2" s="544"/>
      <c r="P2" s="544"/>
      <c r="Q2" s="544"/>
      <c r="R2" s="544"/>
      <c r="S2" s="544"/>
      <c r="T2" s="544"/>
      <c r="U2" s="544"/>
      <c r="V2" s="544"/>
      <c r="W2" s="544"/>
      <c r="X2" s="544"/>
      <c r="Y2" s="544"/>
      <c r="Z2" s="544"/>
      <c r="AA2" s="544"/>
      <c r="AB2" s="544"/>
      <c r="AC2" s="945"/>
    </row>
    <row r="3" spans="1:30" ht="15.75" x14ac:dyDescent="0.25">
      <c r="A3" s="544"/>
      <c r="B3" s="544"/>
      <c r="C3" s="544"/>
      <c r="D3" s="544"/>
      <c r="E3" s="544"/>
      <c r="F3" s="544"/>
      <c r="G3" s="544"/>
      <c r="H3" s="945" t="s">
        <v>492</v>
      </c>
      <c r="I3" s="544"/>
      <c r="J3" s="544"/>
      <c r="K3" s="544"/>
      <c r="L3" s="544"/>
      <c r="M3" s="544"/>
      <c r="N3" s="544"/>
      <c r="O3" s="544"/>
      <c r="P3" s="544"/>
      <c r="Q3" s="544"/>
      <c r="R3" s="544"/>
      <c r="S3" s="544"/>
      <c r="T3" s="544"/>
      <c r="U3" s="544"/>
      <c r="V3" s="544"/>
      <c r="W3" s="544"/>
      <c r="X3" s="544"/>
      <c r="Y3" s="544"/>
      <c r="Z3" s="544"/>
      <c r="AA3" s="544"/>
      <c r="AB3" s="544"/>
      <c r="AC3" s="945"/>
    </row>
    <row r="4" spans="1:30" ht="15.75" x14ac:dyDescent="0.25">
      <c r="A4" s="544"/>
      <c r="B4" s="544"/>
      <c r="C4" s="544"/>
      <c r="D4" s="544"/>
      <c r="E4" s="544"/>
      <c r="F4" s="544"/>
      <c r="G4" s="544"/>
      <c r="H4" s="945" t="s">
        <v>526</v>
      </c>
      <c r="I4" s="544"/>
      <c r="J4" s="544"/>
      <c r="K4" s="544"/>
      <c r="L4" s="544"/>
      <c r="M4" s="544"/>
      <c r="N4" s="544"/>
      <c r="O4" s="544"/>
      <c r="P4" s="544"/>
      <c r="Q4" s="544"/>
      <c r="R4" s="544"/>
      <c r="S4" s="544"/>
      <c r="T4" s="544"/>
      <c r="U4" s="544"/>
      <c r="V4" s="544"/>
      <c r="W4" s="544"/>
      <c r="X4" s="544"/>
      <c r="Y4" s="544"/>
      <c r="Z4" s="544"/>
      <c r="AA4" s="544"/>
      <c r="AB4" s="544"/>
      <c r="AC4" s="945"/>
    </row>
    <row r="5" spans="1:30" ht="15.75" x14ac:dyDescent="0.25">
      <c r="A5" s="544"/>
      <c r="B5" s="544"/>
      <c r="C5" s="544"/>
      <c r="D5" s="544"/>
      <c r="E5" s="544"/>
      <c r="F5" s="544"/>
      <c r="G5" s="544"/>
      <c r="H5" s="945"/>
      <c r="I5" s="544"/>
      <c r="J5" s="544"/>
      <c r="K5" s="544"/>
      <c r="L5" s="544"/>
      <c r="M5" s="544"/>
      <c r="N5" s="544"/>
      <c r="O5" s="544"/>
      <c r="P5" s="544"/>
      <c r="Q5" s="544"/>
      <c r="R5" s="544"/>
      <c r="S5" s="544"/>
      <c r="T5" s="544"/>
      <c r="U5" s="544"/>
      <c r="V5" s="544"/>
      <c r="W5" s="544"/>
      <c r="X5" s="544"/>
      <c r="Y5" s="544"/>
      <c r="Z5" s="544"/>
      <c r="AA5" s="544"/>
      <c r="AB5" s="544"/>
      <c r="AC5" s="945"/>
    </row>
    <row r="6" spans="1:30" ht="15.75" x14ac:dyDescent="0.25">
      <c r="A6" s="544"/>
      <c r="B6" s="544"/>
      <c r="C6" s="544"/>
      <c r="D6" s="544"/>
      <c r="E6" s="544"/>
      <c r="F6" s="544"/>
      <c r="G6" s="544"/>
      <c r="H6" s="945"/>
      <c r="I6" s="544"/>
      <c r="J6" s="544"/>
      <c r="K6" s="544"/>
      <c r="L6" s="544"/>
      <c r="M6" s="544"/>
      <c r="N6" s="544"/>
      <c r="O6" s="544"/>
      <c r="P6" s="544"/>
      <c r="Q6" s="544"/>
      <c r="R6" s="544"/>
      <c r="S6" s="544"/>
      <c r="T6" s="544"/>
      <c r="U6" s="544"/>
      <c r="V6" s="544"/>
      <c r="W6" s="544"/>
      <c r="X6" s="544"/>
      <c r="Y6" s="544"/>
      <c r="Z6" s="544"/>
      <c r="AA6" s="544"/>
      <c r="AB6" s="544"/>
      <c r="AC6" s="945"/>
    </row>
    <row r="7" spans="1:30" ht="15.75" x14ac:dyDescent="0.25">
      <c r="A7" s="544"/>
      <c r="B7" s="544"/>
      <c r="C7" s="544"/>
      <c r="D7" s="544"/>
      <c r="E7" s="544"/>
      <c r="F7" s="544"/>
      <c r="G7" s="544"/>
      <c r="H7" s="945"/>
      <c r="I7" s="544"/>
      <c r="J7" s="544"/>
      <c r="K7" s="544"/>
      <c r="L7" s="544"/>
      <c r="M7" s="544"/>
      <c r="N7" s="544"/>
      <c r="O7" s="544"/>
      <c r="P7" s="544"/>
      <c r="Q7" s="544"/>
      <c r="R7" s="544"/>
      <c r="S7" s="544"/>
      <c r="T7" s="544"/>
      <c r="U7" s="544"/>
      <c r="V7" s="544"/>
      <c r="W7" s="544"/>
      <c r="X7" s="544"/>
      <c r="Y7" s="544"/>
      <c r="Z7" s="544"/>
      <c r="AA7" s="544"/>
      <c r="AB7" s="544"/>
      <c r="AC7" s="945"/>
    </row>
    <row r="8" spans="1:30" ht="15.75" x14ac:dyDescent="0.25">
      <c r="A8" s="544"/>
      <c r="B8" s="544"/>
      <c r="C8" s="544"/>
      <c r="D8" s="544"/>
      <c r="E8" s="544"/>
      <c r="F8" s="544"/>
      <c r="G8" s="544"/>
      <c r="H8" s="945"/>
      <c r="I8" s="544"/>
      <c r="J8" s="544"/>
      <c r="K8" s="544"/>
      <c r="L8" s="544"/>
      <c r="M8" s="544"/>
      <c r="N8" s="544"/>
      <c r="O8" s="544"/>
      <c r="P8" s="544"/>
      <c r="Q8" s="544"/>
      <c r="R8" s="544"/>
      <c r="S8" s="544"/>
      <c r="T8" s="544"/>
      <c r="U8" s="544"/>
      <c r="V8" s="544"/>
      <c r="W8" s="544"/>
      <c r="X8" s="544"/>
      <c r="Y8" s="544"/>
      <c r="Z8" s="544"/>
      <c r="AA8" s="544"/>
      <c r="AB8" s="544"/>
      <c r="AC8" s="945"/>
    </row>
    <row r="9" spans="1:30" x14ac:dyDescent="0.2">
      <c r="A9" s="544"/>
      <c r="B9" s="544"/>
      <c r="C9" s="544"/>
      <c r="D9" s="544"/>
      <c r="E9" s="544"/>
      <c r="F9" s="544"/>
      <c r="G9" s="544"/>
      <c r="H9" s="544"/>
      <c r="I9" s="544"/>
      <c r="J9" s="544"/>
      <c r="K9" s="544"/>
      <c r="L9" s="544"/>
      <c r="M9" s="544"/>
      <c r="N9" s="544"/>
      <c r="O9" s="544"/>
      <c r="P9" s="544"/>
      <c r="Q9" s="544"/>
      <c r="R9" s="544"/>
      <c r="S9" s="544"/>
      <c r="T9" s="544"/>
      <c r="U9" s="544"/>
      <c r="V9" s="544"/>
      <c r="W9" s="544"/>
      <c r="X9" s="544"/>
      <c r="Y9" s="544"/>
      <c r="Z9" s="544"/>
      <c r="AA9" s="544"/>
      <c r="AB9" s="544"/>
      <c r="AC9" s="544"/>
    </row>
    <row r="10" spans="1:30" x14ac:dyDescent="0.2">
      <c r="A10" s="544"/>
      <c r="B10" s="544"/>
      <c r="C10" s="544"/>
      <c r="D10" s="544"/>
      <c r="E10" s="544"/>
      <c r="F10" s="985"/>
      <c r="G10" s="544"/>
      <c r="H10" s="544"/>
      <c r="I10" s="544"/>
      <c r="J10" s="544"/>
      <c r="K10" s="544"/>
      <c r="L10" s="544"/>
      <c r="M10" s="544"/>
      <c r="N10" s="544"/>
      <c r="O10" s="544"/>
      <c r="P10" s="544"/>
      <c r="Q10" s="544"/>
      <c r="R10" s="544"/>
      <c r="S10" s="544"/>
      <c r="T10" s="544"/>
      <c r="U10" s="544"/>
      <c r="V10" s="544"/>
      <c r="W10" s="544"/>
      <c r="X10" s="544"/>
      <c r="Y10" s="544"/>
      <c r="Z10" s="544"/>
      <c r="AA10" s="544"/>
      <c r="AB10" s="544"/>
      <c r="AC10" s="544"/>
    </row>
    <row r="11" spans="1:30" ht="15.75" x14ac:dyDescent="0.2">
      <c r="A11" s="1092" t="s">
        <v>493</v>
      </c>
      <c r="B11" s="1092"/>
      <c r="C11" s="1092"/>
      <c r="D11" s="1092"/>
      <c r="E11" s="1092"/>
      <c r="F11" s="1092"/>
      <c r="G11" s="1092"/>
      <c r="H11" s="1092"/>
      <c r="I11" s="1054"/>
      <c r="J11" s="1054"/>
      <c r="K11" s="1054"/>
      <c r="L11" s="1054"/>
      <c r="M11" s="1054"/>
      <c r="N11" s="1054"/>
      <c r="O11" s="1054"/>
      <c r="P11" s="1054"/>
      <c r="Q11" s="1054"/>
      <c r="R11" s="1054"/>
      <c r="S11" s="1054"/>
      <c r="T11" s="1054"/>
      <c r="U11" s="1054"/>
      <c r="V11" s="1054"/>
      <c r="W11" s="1054"/>
      <c r="X11" s="1054"/>
      <c r="Y11" s="1054"/>
      <c r="Z11" s="1054"/>
      <c r="AA11" s="1054"/>
      <c r="AB11" s="1054"/>
      <c r="AC11" s="1054"/>
      <c r="AD11" s="1054"/>
    </row>
    <row r="12" spans="1:30" ht="15.75" x14ac:dyDescent="0.2">
      <c r="A12" s="903"/>
      <c r="B12" s="903"/>
      <c r="C12" s="903"/>
      <c r="D12" s="903"/>
      <c r="E12" s="903"/>
      <c r="F12" s="903"/>
      <c r="G12" s="903"/>
      <c r="H12" s="903"/>
      <c r="I12" s="1054"/>
      <c r="J12" s="1054"/>
      <c r="K12" s="1054"/>
      <c r="L12" s="1054"/>
      <c r="M12" s="1054"/>
      <c r="N12" s="1054"/>
      <c r="O12" s="1054"/>
      <c r="P12" s="1054"/>
      <c r="Q12" s="1054"/>
      <c r="R12" s="1054"/>
      <c r="S12" s="1054"/>
      <c r="T12" s="1054"/>
      <c r="U12" s="1054"/>
      <c r="V12" s="1054"/>
      <c r="W12" s="1054"/>
      <c r="X12" s="1054"/>
      <c r="Y12" s="1054"/>
      <c r="Z12" s="1054"/>
      <c r="AA12" s="1054"/>
      <c r="AB12" s="1054"/>
      <c r="AC12" s="1054"/>
      <c r="AD12" s="1054"/>
    </row>
    <row r="13" spans="1:30" x14ac:dyDescent="0.2">
      <c r="A13" s="544"/>
      <c r="B13" s="544"/>
      <c r="C13" s="544"/>
      <c r="D13" s="544"/>
      <c r="E13" s="544"/>
      <c r="F13" s="544"/>
      <c r="G13" s="544"/>
      <c r="H13" s="544"/>
      <c r="I13" s="544"/>
      <c r="J13" s="544"/>
      <c r="K13" s="544"/>
      <c r="L13" s="544"/>
      <c r="M13" s="544"/>
      <c r="N13" s="544"/>
      <c r="O13" s="544"/>
      <c r="P13" s="544"/>
      <c r="Q13" s="544"/>
      <c r="R13" s="544"/>
      <c r="S13" s="544"/>
      <c r="T13" s="544"/>
      <c r="U13" s="544"/>
      <c r="V13" s="544"/>
      <c r="W13" s="544"/>
      <c r="X13" s="544"/>
      <c r="Y13" s="544"/>
      <c r="Z13" s="544"/>
      <c r="AA13" s="544"/>
      <c r="AB13" s="544"/>
      <c r="AC13" s="544"/>
    </row>
    <row r="14" spans="1:30" ht="15.75" x14ac:dyDescent="0.25">
      <c r="A14" s="1093" t="s">
        <v>428</v>
      </c>
      <c r="B14" s="1093"/>
      <c r="C14" s="1093"/>
      <c r="D14" s="1093"/>
      <c r="E14" s="1093"/>
      <c r="F14" s="1093"/>
      <c r="G14" s="1093"/>
      <c r="H14" s="1093"/>
      <c r="I14" s="941"/>
      <c r="J14" s="941"/>
      <c r="K14" s="941"/>
      <c r="L14" s="941"/>
      <c r="M14" s="941"/>
      <c r="N14" s="941"/>
      <c r="O14" s="941"/>
      <c r="P14" s="941"/>
      <c r="Q14" s="941"/>
      <c r="R14" s="941"/>
      <c r="S14" s="941"/>
      <c r="T14" s="941"/>
      <c r="U14" s="941"/>
      <c r="V14" s="941"/>
      <c r="W14" s="941"/>
      <c r="X14" s="941"/>
      <c r="Y14" s="941"/>
      <c r="Z14" s="941"/>
      <c r="AA14" s="941"/>
      <c r="AB14" s="941"/>
      <c r="AC14" s="941"/>
      <c r="AD14" s="941"/>
    </row>
    <row r="15" spans="1:30" ht="15.75" x14ac:dyDescent="0.25">
      <c r="A15" s="904"/>
      <c r="B15" s="904"/>
      <c r="C15" s="904"/>
      <c r="D15" s="904"/>
      <c r="E15" s="904"/>
      <c r="F15" s="904"/>
      <c r="G15" s="904"/>
      <c r="H15" s="904"/>
      <c r="I15" s="941"/>
      <c r="J15" s="941"/>
      <c r="K15" s="941"/>
      <c r="L15" s="941"/>
      <c r="M15" s="941"/>
      <c r="N15" s="941"/>
      <c r="O15" s="941"/>
      <c r="P15" s="941"/>
      <c r="Q15" s="941"/>
      <c r="R15" s="941"/>
      <c r="S15" s="941"/>
      <c r="T15" s="941"/>
      <c r="U15" s="941"/>
      <c r="V15" s="941"/>
      <c r="W15" s="941"/>
      <c r="X15" s="941"/>
      <c r="Y15" s="941"/>
      <c r="Z15" s="941"/>
      <c r="AA15" s="941"/>
      <c r="AB15" s="941"/>
      <c r="AC15" s="941"/>
      <c r="AD15" s="941"/>
    </row>
    <row r="16" spans="1:30" ht="13.5" thickBot="1" x14ac:dyDescent="0.25">
      <c r="A16" s="905"/>
      <c r="B16" s="905"/>
      <c r="C16" s="905"/>
      <c r="D16" s="906"/>
      <c r="E16" s="906"/>
      <c r="F16" s="907"/>
      <c r="G16" s="918"/>
      <c r="H16" s="544"/>
      <c r="I16" s="544"/>
      <c r="J16" s="544"/>
      <c r="K16" s="544"/>
      <c r="L16" s="544"/>
      <c r="M16" s="544"/>
      <c r="N16" s="544"/>
      <c r="O16" s="544"/>
      <c r="P16" s="544"/>
      <c r="Q16" s="544"/>
      <c r="R16" s="544"/>
      <c r="S16" s="544"/>
      <c r="T16" s="544"/>
      <c r="U16" s="544"/>
      <c r="V16" s="544"/>
      <c r="W16" s="544"/>
      <c r="X16" s="544"/>
      <c r="Y16" s="544"/>
      <c r="Z16" s="544"/>
      <c r="AA16" s="544"/>
      <c r="AB16" s="544"/>
      <c r="AC16" s="544"/>
    </row>
    <row r="17" spans="1:31" ht="12.75" customHeight="1" x14ac:dyDescent="0.2">
      <c r="A17" s="1094" t="s">
        <v>112</v>
      </c>
      <c r="B17" s="1096" t="s">
        <v>458</v>
      </c>
      <c r="C17" s="1098" t="s">
        <v>459</v>
      </c>
      <c r="D17" s="1100" t="s">
        <v>514</v>
      </c>
      <c r="E17" s="1101"/>
      <c r="F17" s="986" t="s">
        <v>456</v>
      </c>
      <c r="G17" s="1057" t="s">
        <v>456</v>
      </c>
      <c r="H17" s="1110" t="s">
        <v>457</v>
      </c>
    </row>
    <row r="18" spans="1:31" ht="60.75" thickBot="1" x14ac:dyDescent="0.25">
      <c r="A18" s="1095"/>
      <c r="B18" s="1097"/>
      <c r="C18" s="1099"/>
      <c r="D18" s="1042" t="s">
        <v>516</v>
      </c>
      <c r="E18" s="911" t="s">
        <v>517</v>
      </c>
      <c r="F18" s="914" t="s">
        <v>462</v>
      </c>
      <c r="G18" s="915" t="s">
        <v>497</v>
      </c>
      <c r="H18" s="1111"/>
    </row>
    <row r="19" spans="1:31" ht="24" x14ac:dyDescent="0.2">
      <c r="A19" s="919">
        <v>1</v>
      </c>
      <c r="B19" s="989" t="str">
        <f>'По Настройке'!L7</f>
        <v>Программист</v>
      </c>
      <c r="C19" s="920" t="str">
        <f>'По Настройке'!M7</f>
        <v>Отдел разработки и технологий</v>
      </c>
      <c r="D19" s="922">
        <f>'По Настройке'!BO7</f>
        <v>9000</v>
      </c>
      <c r="E19" s="922">
        <f>'По Настройке'!BP7</f>
        <v>2718</v>
      </c>
      <c r="F19" s="925">
        <f t="shared" ref="F19:F21" si="0">D19</f>
        <v>9000</v>
      </c>
      <c r="G19" s="926">
        <f t="shared" ref="G19:G21" si="1">E19</f>
        <v>2718</v>
      </c>
      <c r="H19" s="991">
        <f t="shared" ref="H19:H22" si="2">G19/F19*100</f>
        <v>30.2</v>
      </c>
    </row>
    <row r="20" spans="1:31" ht="36" x14ac:dyDescent="0.2">
      <c r="A20" s="928">
        <v>2</v>
      </c>
      <c r="B20" s="989" t="str">
        <f>'По Настройке'!L8</f>
        <v>Руководитель проектов</v>
      </c>
      <c r="C20" s="920" t="str">
        <f>'По Настройке'!M8</f>
        <v>Отдел управления проектами и внедрения</v>
      </c>
      <c r="D20" s="922">
        <f>'По Настройке'!BO8</f>
        <v>30600</v>
      </c>
      <c r="E20" s="922">
        <f>'По Настройке'!BP8</f>
        <v>9241.2000000000007</v>
      </c>
      <c r="F20" s="925">
        <f t="shared" si="0"/>
        <v>30600</v>
      </c>
      <c r="G20" s="926">
        <f t="shared" si="1"/>
        <v>9241.2000000000007</v>
      </c>
      <c r="H20" s="991">
        <f t="shared" si="2"/>
        <v>30.2</v>
      </c>
    </row>
    <row r="21" spans="1:31" ht="24.75" thickBot="1" x14ac:dyDescent="0.25">
      <c r="A21" s="919">
        <v>3</v>
      </c>
      <c r="B21" s="989" t="str">
        <f>'По Настройке'!L9</f>
        <v>Системный аналитик</v>
      </c>
      <c r="C21" s="920" t="str">
        <f>'По Настройке'!M9</f>
        <v>Группа аналитики и консалтинга</v>
      </c>
      <c r="D21" s="922">
        <f>'По Настройке'!BO9</f>
        <v>9900</v>
      </c>
      <c r="E21" s="922">
        <f>'По Настройке'!BP9</f>
        <v>2989.8</v>
      </c>
      <c r="F21" s="925">
        <f t="shared" si="0"/>
        <v>9900</v>
      </c>
      <c r="G21" s="926">
        <f t="shared" si="1"/>
        <v>2989.8</v>
      </c>
      <c r="H21" s="1055">
        <f t="shared" si="2"/>
        <v>30.2</v>
      </c>
    </row>
    <row r="22" spans="1:31" ht="13.5" thickBot="1" x14ac:dyDescent="0.25">
      <c r="A22" s="1107" t="s">
        <v>30</v>
      </c>
      <c r="B22" s="1108"/>
      <c r="C22" s="1109"/>
      <c r="D22" s="936">
        <f>SUM(D19:D21)</f>
        <v>49500</v>
      </c>
      <c r="E22" s="937">
        <f>SUM(E19:E21)</f>
        <v>14949</v>
      </c>
      <c r="F22" s="934">
        <f>SUM(F19:F21)</f>
        <v>49500</v>
      </c>
      <c r="G22" s="935">
        <f>SUM(G19:G21)</f>
        <v>14949</v>
      </c>
      <c r="H22" s="1056">
        <f t="shared" si="2"/>
        <v>30.2</v>
      </c>
    </row>
    <row r="23" spans="1:31" x14ac:dyDescent="0.2">
      <c r="A23" s="1058"/>
      <c r="B23" s="1058"/>
      <c r="C23" s="1058"/>
      <c r="D23" s="1059"/>
      <c r="E23" s="1059"/>
      <c r="F23" s="1059"/>
      <c r="G23" s="1059"/>
      <c r="H23" s="1060"/>
    </row>
    <row r="24" spans="1:31" x14ac:dyDescent="0.2">
      <c r="A24" s="1058"/>
      <c r="B24" s="1058"/>
      <c r="C24" s="1058"/>
      <c r="D24" s="1059"/>
      <c r="E24" s="1059"/>
      <c r="F24" s="1059"/>
      <c r="G24" s="1059"/>
      <c r="H24" s="1060"/>
    </row>
    <row r="25" spans="1:31" x14ac:dyDescent="0.2">
      <c r="A25" s="939"/>
      <c r="B25" s="939"/>
      <c r="C25" s="939"/>
      <c r="D25" s="939"/>
      <c r="E25" s="939"/>
      <c r="F25" s="939"/>
      <c r="G25" s="939"/>
      <c r="H25" s="939"/>
      <c r="I25" s="939"/>
      <c r="J25" s="939"/>
      <c r="K25" s="939"/>
      <c r="L25" s="939"/>
      <c r="M25" s="939"/>
      <c r="N25" s="939"/>
      <c r="O25" s="939"/>
      <c r="P25" s="939"/>
      <c r="Q25" s="939"/>
      <c r="R25" s="939"/>
      <c r="S25" s="939"/>
      <c r="T25" s="939"/>
      <c r="U25" s="939"/>
      <c r="V25" s="939"/>
      <c r="W25" s="939"/>
      <c r="X25" s="939"/>
      <c r="Y25" s="939"/>
      <c r="Z25" s="939"/>
      <c r="AA25" s="939"/>
      <c r="AB25" s="939"/>
      <c r="AC25" s="939"/>
      <c r="AD25" s="939"/>
      <c r="AE25" s="45"/>
    </row>
    <row r="26" spans="1:31" x14ac:dyDescent="0.2">
      <c r="A26" s="939"/>
      <c r="B26" s="939"/>
      <c r="C26" s="939"/>
      <c r="D26" s="939"/>
      <c r="E26" s="999"/>
      <c r="F26" s="999"/>
      <c r="G26" s="999"/>
      <c r="H26" s="999"/>
      <c r="I26" s="999"/>
      <c r="J26" s="999"/>
      <c r="K26" s="999"/>
      <c r="L26" s="939"/>
      <c r="M26" s="939"/>
      <c r="N26" s="939"/>
      <c r="O26" s="939"/>
      <c r="P26" s="939"/>
      <c r="Q26" s="939"/>
      <c r="R26" s="939"/>
      <c r="S26" s="939"/>
      <c r="T26" s="939"/>
      <c r="U26" s="939"/>
      <c r="V26" s="939"/>
      <c r="W26" s="939"/>
      <c r="X26" s="939"/>
      <c r="Y26" s="939"/>
      <c r="Z26" s="939"/>
      <c r="AA26" s="939"/>
      <c r="AB26" s="939"/>
      <c r="AC26" s="939"/>
      <c r="AD26" s="939"/>
      <c r="AE26" s="45"/>
    </row>
    <row r="27" spans="1:31" ht="70.5" customHeight="1" x14ac:dyDescent="0.25">
      <c r="A27" s="547" t="s">
        <v>247</v>
      </c>
      <c r="B27" s="941"/>
      <c r="C27" s="940"/>
      <c r="E27" s="1000"/>
      <c r="F27" s="1001" t="s">
        <v>141</v>
      </c>
      <c r="G27" s="548"/>
      <c r="H27" s="548"/>
      <c r="I27" s="548"/>
      <c r="J27" s="548"/>
      <c r="K27" s="548"/>
      <c r="L27" s="548"/>
      <c r="M27" s="548"/>
      <c r="N27" s="548"/>
      <c r="O27" s="548"/>
      <c r="P27" s="548"/>
      <c r="Q27" s="548"/>
      <c r="R27" s="548"/>
      <c r="S27" s="548"/>
      <c r="T27" s="548"/>
      <c r="U27" s="548"/>
      <c r="V27" s="548"/>
      <c r="W27" s="548"/>
      <c r="X27" s="548"/>
      <c r="Y27" s="548"/>
      <c r="Z27" s="548"/>
      <c r="AA27" s="548"/>
      <c r="AB27" s="548"/>
      <c r="AC27" s="548"/>
    </row>
  </sheetData>
  <mergeCells count="8">
    <mergeCell ref="A22:C22"/>
    <mergeCell ref="A11:H11"/>
    <mergeCell ref="A14:H14"/>
    <mergeCell ref="H17:H18"/>
    <mergeCell ref="A17:A18"/>
    <mergeCell ref="B17:B18"/>
    <mergeCell ref="C17:C18"/>
    <mergeCell ref="D17:E17"/>
  </mergeCells>
  <pageMargins left="0.8" right="0.15748031496062992" top="0.31496062992125984" bottom="0.15748031496062992" header="0.31496062992125984" footer="0.1574803149606299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"/>
  <sheetViews>
    <sheetView topLeftCell="A8" zoomScale="90" zoomScaleNormal="90" workbookViewId="0">
      <selection activeCell="D22" sqref="D22"/>
    </sheetView>
  </sheetViews>
  <sheetFormatPr defaultColWidth="8.85546875" defaultRowHeight="15.75" x14ac:dyDescent="0.25"/>
  <cols>
    <col min="1" max="1" width="4.140625" style="548" customWidth="1"/>
    <col min="2" max="2" width="27.5703125" style="548" customWidth="1"/>
    <col min="3" max="3" width="14.140625" style="548" bestFit="1" customWidth="1"/>
    <col min="4" max="4" width="13.28515625" style="548" customWidth="1"/>
    <col min="5" max="5" width="12.140625" style="548" customWidth="1"/>
    <col min="6" max="6" width="13.5703125" style="548" customWidth="1"/>
    <col min="7" max="7" width="15.7109375" style="548" customWidth="1"/>
    <col min="8" max="8" width="8.85546875" style="548"/>
    <col min="9" max="9" width="17.85546875" style="548" bestFit="1" customWidth="1"/>
    <col min="10" max="10" width="16.5703125" style="548" bestFit="1" customWidth="1"/>
    <col min="11" max="16384" width="8.85546875" style="548"/>
  </cols>
  <sheetData>
    <row r="1" spans="1:15" x14ac:dyDescent="0.25">
      <c r="G1" s="943" t="s">
        <v>441</v>
      </c>
    </row>
    <row r="2" spans="1:15" x14ac:dyDescent="0.25">
      <c r="A2" s="544"/>
      <c r="B2" s="544"/>
      <c r="C2" s="544"/>
      <c r="G2" s="887" t="s">
        <v>530</v>
      </c>
      <c r="H2" s="544"/>
      <c r="I2" s="544"/>
      <c r="J2" s="544"/>
      <c r="K2" s="544"/>
      <c r="L2" s="544"/>
      <c r="M2" s="544"/>
      <c r="N2" s="544"/>
      <c r="O2" s="544"/>
    </row>
    <row r="3" spans="1:15" x14ac:dyDescent="0.25">
      <c r="A3" s="544"/>
      <c r="B3" s="544"/>
      <c r="C3" s="544"/>
      <c r="G3" s="945" t="s">
        <v>492</v>
      </c>
      <c r="H3" s="544"/>
      <c r="I3" s="544"/>
      <c r="J3" s="544"/>
      <c r="K3" s="544"/>
      <c r="L3" s="544"/>
      <c r="M3" s="544"/>
      <c r="N3" s="544"/>
      <c r="O3" s="544"/>
    </row>
    <row r="4" spans="1:15" x14ac:dyDescent="0.25">
      <c r="A4" s="944"/>
      <c r="B4" s="944"/>
      <c r="C4" s="944"/>
      <c r="D4" s="1112" t="s">
        <v>531</v>
      </c>
      <c r="E4" s="1112"/>
      <c r="F4" s="1112"/>
      <c r="G4" s="1112"/>
      <c r="H4" s="544"/>
      <c r="I4" s="544"/>
      <c r="J4" s="544"/>
      <c r="K4" s="544"/>
      <c r="L4" s="544"/>
      <c r="M4" s="544"/>
      <c r="N4" s="544"/>
      <c r="O4" s="544"/>
    </row>
    <row r="5" spans="1:15" ht="52.5" customHeight="1" x14ac:dyDescent="0.25">
      <c r="A5" s="944"/>
      <c r="B5" s="944"/>
      <c r="C5" s="944"/>
      <c r="D5" s="942"/>
      <c r="E5" s="942"/>
      <c r="F5" s="942"/>
      <c r="G5" s="942"/>
      <c r="H5" s="544"/>
      <c r="I5" s="544"/>
      <c r="J5" s="544"/>
      <c r="K5" s="544"/>
      <c r="L5" s="544"/>
      <c r="M5" s="544"/>
      <c r="N5" s="544"/>
      <c r="O5" s="544"/>
    </row>
    <row r="6" spans="1:15" x14ac:dyDescent="0.25">
      <c r="A6" s="1093" t="s">
        <v>464</v>
      </c>
      <c r="B6" s="1093"/>
      <c r="C6" s="1093"/>
      <c r="D6" s="1093"/>
      <c r="E6" s="1093"/>
      <c r="F6" s="1093"/>
      <c r="G6" s="1093"/>
      <c r="H6" s="544"/>
      <c r="I6" s="544"/>
      <c r="J6" s="544"/>
      <c r="K6" s="544"/>
      <c r="L6" s="544"/>
      <c r="M6" s="544"/>
      <c r="N6" s="544"/>
      <c r="O6" s="544"/>
    </row>
    <row r="7" spans="1:15" ht="38.25" customHeight="1" x14ac:dyDescent="0.25">
      <c r="A7" s="1113"/>
      <c r="B7" s="1113"/>
      <c r="C7" s="1113"/>
      <c r="D7" s="1113"/>
      <c r="E7" s="1113"/>
      <c r="F7" s="544"/>
      <c r="G7" s="544" t="s">
        <v>465</v>
      </c>
      <c r="H7" s="544"/>
      <c r="I7" s="544"/>
      <c r="J7" s="544"/>
      <c r="K7" s="544"/>
      <c r="L7" s="544"/>
      <c r="M7" s="544"/>
      <c r="N7" s="544"/>
      <c r="O7" s="544"/>
    </row>
    <row r="8" spans="1:15" s="544" customFormat="1" ht="12.75" x14ac:dyDescent="0.2">
      <c r="A8" s="1114" t="s">
        <v>466</v>
      </c>
      <c r="B8" s="1116" t="s">
        <v>467</v>
      </c>
      <c r="C8" s="1119" t="s">
        <v>527</v>
      </c>
      <c r="D8" s="1120"/>
      <c r="E8" s="1121"/>
      <c r="F8" s="1116" t="s">
        <v>468</v>
      </c>
      <c r="G8" s="1116" t="s">
        <v>469</v>
      </c>
    </row>
    <row r="9" spans="1:15" s="544" customFormat="1" ht="28.15" customHeight="1" x14ac:dyDescent="0.2">
      <c r="A9" s="1115"/>
      <c r="B9" s="1117"/>
      <c r="C9" s="946" t="s">
        <v>470</v>
      </c>
      <c r="D9" s="946" t="s">
        <v>471</v>
      </c>
      <c r="E9" s="946" t="s">
        <v>472</v>
      </c>
      <c r="F9" s="1117"/>
      <c r="G9" s="1117"/>
    </row>
    <row r="10" spans="1:15" s="544" customFormat="1" ht="28.15" customHeight="1" x14ac:dyDescent="0.2">
      <c r="A10" s="947" t="s">
        <v>473</v>
      </c>
      <c r="B10" s="1118"/>
      <c r="C10" s="948" t="s">
        <v>474</v>
      </c>
      <c r="D10" s="948" t="s">
        <v>475</v>
      </c>
      <c r="E10" s="949" t="s">
        <v>476</v>
      </c>
      <c r="F10" s="950" t="s">
        <v>528</v>
      </c>
      <c r="G10" s="1118"/>
    </row>
    <row r="11" spans="1:15" ht="30" x14ac:dyDescent="0.25">
      <c r="A11" s="951" t="s">
        <v>477</v>
      </c>
      <c r="B11" s="952" t="s">
        <v>478</v>
      </c>
      <c r="C11" s="953">
        <f>'Накладные 20121129'!D34</f>
        <v>4847782.7699999996</v>
      </c>
      <c r="D11" s="953">
        <f>'Накладные 20121129'!H38</f>
        <v>309225.28999999998</v>
      </c>
      <c r="E11" s="954">
        <f>D11/C11</f>
        <v>6.3799999999999996E-2</v>
      </c>
      <c r="F11" s="955">
        <f>'Накладные 20121129'!H52</f>
        <v>111225.98</v>
      </c>
      <c r="G11" s="955">
        <f>D11+F11</f>
        <v>420451.27</v>
      </c>
      <c r="H11" s="544"/>
      <c r="I11" s="956"/>
      <c r="J11" s="956"/>
      <c r="K11" s="544"/>
      <c r="L11" s="544"/>
      <c r="M11" s="544"/>
      <c r="N11" s="544"/>
      <c r="O11" s="544"/>
    </row>
    <row r="12" spans="1:15" x14ac:dyDescent="0.25">
      <c r="A12" s="957" t="s">
        <v>479</v>
      </c>
      <c r="B12" s="958" t="s">
        <v>261</v>
      </c>
      <c r="C12" s="953">
        <f>'Накладные 20121129'!E34</f>
        <v>2572851.2799999998</v>
      </c>
      <c r="D12" s="953">
        <f>'Накладные 20121129'!I38</f>
        <v>162575.10999999999</v>
      </c>
      <c r="E12" s="954">
        <f t="shared" ref="E12:E19" si="0">D12/C12</f>
        <v>6.3200000000000006E-2</v>
      </c>
      <c r="F12" s="955">
        <f>'Накладные 20121129'!I52</f>
        <v>59030.68</v>
      </c>
      <c r="G12" s="955">
        <f t="shared" ref="G12:G18" si="1">D12+F12</f>
        <v>221605.79</v>
      </c>
      <c r="H12" s="544"/>
      <c r="I12" s="956"/>
      <c r="J12" s="956"/>
      <c r="K12" s="544"/>
      <c r="L12" s="544"/>
      <c r="M12" s="544"/>
      <c r="N12" s="544"/>
      <c r="O12" s="544"/>
    </row>
    <row r="13" spans="1:15" ht="45" x14ac:dyDescent="0.25">
      <c r="A13" s="957" t="s">
        <v>480</v>
      </c>
      <c r="B13" s="958" t="s">
        <v>262</v>
      </c>
      <c r="C13" s="953">
        <f>'Накладные 20121129'!F34</f>
        <v>1027515.33</v>
      </c>
      <c r="D13" s="953">
        <f>'Накладные 20121129'!J38</f>
        <v>64998.26</v>
      </c>
      <c r="E13" s="954">
        <f t="shared" si="0"/>
        <v>6.3299999999999995E-2</v>
      </c>
      <c r="F13" s="955">
        <f>'Накладные 20121129'!J52</f>
        <v>23574.98</v>
      </c>
      <c r="G13" s="955">
        <f t="shared" si="1"/>
        <v>88573.24</v>
      </c>
      <c r="H13" s="544"/>
      <c r="I13" s="956"/>
      <c r="J13" s="956"/>
      <c r="K13" s="544"/>
      <c r="L13" s="544"/>
      <c r="M13" s="544"/>
      <c r="N13" s="544"/>
      <c r="O13" s="544"/>
    </row>
    <row r="14" spans="1:15" ht="30" x14ac:dyDescent="0.25">
      <c r="A14" s="957" t="s">
        <v>481</v>
      </c>
      <c r="B14" s="958" t="s">
        <v>263</v>
      </c>
      <c r="C14" s="953">
        <f>'Накладные 20121129'!G34</f>
        <v>402182.86</v>
      </c>
      <c r="D14" s="953">
        <f>'Накладные 20121129'!K38</f>
        <v>26043.84</v>
      </c>
      <c r="E14" s="954">
        <f t="shared" si="0"/>
        <v>6.4799999999999996E-2</v>
      </c>
      <c r="F14" s="955">
        <f>'Накладные 20121129'!K52</f>
        <v>9227.56</v>
      </c>
      <c r="G14" s="955">
        <f t="shared" si="1"/>
        <v>35271.4</v>
      </c>
      <c r="H14" s="544"/>
      <c r="I14" s="956"/>
      <c r="J14" s="956"/>
      <c r="K14" s="544"/>
      <c r="L14" s="544"/>
      <c r="M14" s="544"/>
      <c r="N14" s="544"/>
      <c r="O14" s="544"/>
    </row>
    <row r="15" spans="1:15" ht="30" x14ac:dyDescent="0.25">
      <c r="A15" s="957" t="s">
        <v>482</v>
      </c>
      <c r="B15" s="958" t="s">
        <v>264</v>
      </c>
      <c r="C15" s="953">
        <f>'Накладные 20121129'!H34</f>
        <v>258888.71</v>
      </c>
      <c r="D15" s="953">
        <f>'Накладные 20121129'!L38</f>
        <v>15825.07</v>
      </c>
      <c r="E15" s="954">
        <f t="shared" si="0"/>
        <v>6.1100000000000002E-2</v>
      </c>
      <c r="F15" s="955">
        <f>'Накладные 20121129'!L52</f>
        <v>5939.85</v>
      </c>
      <c r="G15" s="955">
        <f t="shared" si="1"/>
        <v>21764.92</v>
      </c>
      <c r="H15" s="544"/>
      <c r="I15" s="956"/>
      <c r="J15" s="956"/>
      <c r="K15" s="544"/>
      <c r="L15" s="544"/>
      <c r="M15" s="544"/>
      <c r="N15" s="544"/>
      <c r="O15" s="544"/>
    </row>
    <row r="16" spans="1:15" ht="30.75" customHeight="1" x14ac:dyDescent="0.25">
      <c r="A16" s="957" t="s">
        <v>483</v>
      </c>
      <c r="B16" s="958" t="s">
        <v>265</v>
      </c>
      <c r="C16" s="953">
        <f>'Накладные 20121129'!I34</f>
        <v>698787.57</v>
      </c>
      <c r="D16" s="953">
        <f>'Накладные 20121129'!M38</f>
        <v>44129.75</v>
      </c>
      <c r="E16" s="954">
        <f t="shared" si="0"/>
        <v>6.3200000000000006E-2</v>
      </c>
      <c r="F16" s="955">
        <f>'Накладные 20121129'!M52</f>
        <v>16032.76</v>
      </c>
      <c r="G16" s="955">
        <f t="shared" si="1"/>
        <v>60162.51</v>
      </c>
      <c r="H16" s="544"/>
      <c r="I16" s="956"/>
      <c r="J16" s="956"/>
      <c r="K16" s="544"/>
      <c r="L16" s="544"/>
      <c r="M16" s="544"/>
      <c r="N16" s="544"/>
      <c r="O16" s="544"/>
    </row>
    <row r="17" spans="1:15" ht="31.15" customHeight="1" x14ac:dyDescent="0.25">
      <c r="A17" s="957" t="s">
        <v>484</v>
      </c>
      <c r="B17" s="958" t="s">
        <v>266</v>
      </c>
      <c r="C17" s="953">
        <f>'Накладные 20121129'!J34</f>
        <v>3030539.81</v>
      </c>
      <c r="D17" s="953">
        <f>'Накладные 20121129'!N38</f>
        <v>197603.86</v>
      </c>
      <c r="E17" s="954">
        <f t="shared" si="0"/>
        <v>6.5199999999999994E-2</v>
      </c>
      <c r="F17" s="955">
        <f>'Накладные 20121129'!N52</f>
        <v>69531.72</v>
      </c>
      <c r="G17" s="955">
        <f t="shared" si="1"/>
        <v>267135.58</v>
      </c>
      <c r="H17" s="544"/>
      <c r="I17" s="956"/>
      <c r="J17" s="956"/>
      <c r="K17" s="544"/>
      <c r="L17" s="544"/>
      <c r="M17" s="544"/>
      <c r="N17" s="544"/>
      <c r="O17" s="544"/>
    </row>
    <row r="18" spans="1:15" ht="30" x14ac:dyDescent="0.25">
      <c r="A18" s="957" t="s">
        <v>485</v>
      </c>
      <c r="B18" s="958" t="s">
        <v>267</v>
      </c>
      <c r="C18" s="953">
        <f>'Накладные 20121129'!K34</f>
        <v>641406.25</v>
      </c>
      <c r="D18" s="953">
        <f>'Накладные 20121129'!O38</f>
        <v>40994.07</v>
      </c>
      <c r="E18" s="954">
        <f t="shared" si="0"/>
        <v>6.3899999999999998E-2</v>
      </c>
      <c r="F18" s="955">
        <f>'Накладные 20121129'!O52</f>
        <v>14716.22</v>
      </c>
      <c r="G18" s="955">
        <f t="shared" si="1"/>
        <v>55710.29</v>
      </c>
      <c r="H18" s="544"/>
      <c r="I18" s="956"/>
      <c r="J18" s="956"/>
      <c r="K18" s="544"/>
      <c r="L18" s="544"/>
      <c r="M18" s="544"/>
      <c r="N18" s="544"/>
      <c r="O18" s="544"/>
    </row>
    <row r="19" spans="1:15" s="791" customFormat="1" ht="23.45" customHeight="1" x14ac:dyDescent="0.25">
      <c r="A19" s="959"/>
      <c r="B19" s="960" t="s">
        <v>486</v>
      </c>
      <c r="C19" s="961">
        <f>SUM(C11:C18)</f>
        <v>13479954.58</v>
      </c>
      <c r="D19" s="961">
        <f>SUM(D11:D18)</f>
        <v>861395.25</v>
      </c>
      <c r="E19" s="962">
        <f t="shared" si="0"/>
        <v>6.3899999999999998E-2</v>
      </c>
      <c r="F19" s="961">
        <f>SUM(F11:F18)</f>
        <v>309279.75</v>
      </c>
      <c r="G19" s="961">
        <f>SUM(G11:G18)</f>
        <v>1170675</v>
      </c>
      <c r="H19" s="963"/>
      <c r="I19" s="964"/>
      <c r="J19" s="964"/>
      <c r="K19" s="963"/>
      <c r="L19" s="963"/>
      <c r="M19" s="963"/>
      <c r="N19" s="963"/>
      <c r="O19" s="963"/>
    </row>
    <row r="20" spans="1:15" x14ac:dyDescent="0.25">
      <c r="A20" s="931"/>
      <c r="B20" s="965"/>
      <c r="C20" s="966"/>
      <c r="D20" s="966"/>
      <c r="E20" s="967"/>
      <c r="F20" s="966"/>
      <c r="G20" s="966"/>
      <c r="H20" s="544"/>
      <c r="I20" s="544"/>
      <c r="J20" s="544"/>
      <c r="K20" s="544"/>
      <c r="L20" s="544"/>
      <c r="M20" s="544"/>
      <c r="N20" s="544"/>
      <c r="O20" s="544"/>
    </row>
    <row r="21" spans="1:15" x14ac:dyDescent="0.25">
      <c r="A21" s="931"/>
      <c r="B21" s="965" t="s">
        <v>487</v>
      </c>
      <c r="C21" s="966"/>
      <c r="D21" s="966"/>
      <c r="E21" s="967"/>
      <c r="F21" s="966"/>
      <c r="G21" s="966"/>
      <c r="H21" s="544"/>
      <c r="I21" s="544"/>
      <c r="J21" s="544"/>
      <c r="K21" s="544"/>
      <c r="L21" s="544"/>
      <c r="M21" s="544"/>
      <c r="N21" s="544"/>
      <c r="O21" s="544"/>
    </row>
    <row r="22" spans="1:15" x14ac:dyDescent="0.25">
      <c r="A22" s="931"/>
      <c r="B22" s="968" t="s">
        <v>488</v>
      </c>
      <c r="C22" s="969">
        <f>'ФОТ 20121129'!AM86</f>
        <v>10904976.41</v>
      </c>
      <c r="D22" s="953">
        <f>'Накладные 20121129'!D38</f>
        <v>708991.73</v>
      </c>
      <c r="E22" s="954">
        <f>D22/C22</f>
        <v>6.5000000000000002E-2</v>
      </c>
      <c r="F22" s="955">
        <f>'Накладные 20121129'!D52</f>
        <v>355258.27</v>
      </c>
      <c r="G22" s="955">
        <f>D22+F22</f>
        <v>1064250</v>
      </c>
      <c r="H22" s="544"/>
      <c r="I22" s="544"/>
      <c r="J22" s="544"/>
      <c r="K22" s="544"/>
      <c r="L22" s="544"/>
      <c r="M22" s="544"/>
      <c r="N22" s="544"/>
      <c r="O22" s="544"/>
    </row>
    <row r="23" spans="1:15" x14ac:dyDescent="0.25">
      <c r="A23" s="931"/>
      <c r="B23" s="965" t="s">
        <v>237</v>
      </c>
      <c r="C23" s="970">
        <f>C19/C22</f>
        <v>1.2361</v>
      </c>
      <c r="D23" s="971">
        <f>D19/D22</f>
        <v>1.2150000000000001</v>
      </c>
      <c r="E23" s="954"/>
      <c r="F23" s="971">
        <f>F19/F22</f>
        <v>0.87060000000000004</v>
      </c>
      <c r="G23" s="971">
        <f>G19/G22</f>
        <v>1.1000000000000001</v>
      </c>
      <c r="H23" s="544"/>
      <c r="I23" s="544"/>
      <c r="J23" s="544"/>
      <c r="K23" s="544"/>
      <c r="L23" s="544"/>
      <c r="M23" s="544"/>
      <c r="N23" s="544"/>
      <c r="O23" s="544"/>
    </row>
    <row r="24" spans="1:15" x14ac:dyDescent="0.25">
      <c r="A24" s="544"/>
      <c r="B24" s="544"/>
      <c r="C24" s="544"/>
      <c r="D24" s="544"/>
      <c r="E24" s="544"/>
      <c r="F24" s="544"/>
      <c r="G24" s="544"/>
      <c r="H24" s="544"/>
      <c r="I24" s="544"/>
      <c r="J24" s="544"/>
      <c r="K24" s="544"/>
      <c r="L24" s="544"/>
      <c r="M24" s="544"/>
      <c r="N24" s="544"/>
      <c r="O24" s="544"/>
    </row>
    <row r="25" spans="1:15" ht="72" customHeight="1" x14ac:dyDescent="0.25">
      <c r="A25" s="550" t="s">
        <v>247</v>
      </c>
      <c r="B25" s="544"/>
      <c r="C25" s="544"/>
      <c r="D25" s="550"/>
      <c r="E25" s="550" t="s">
        <v>141</v>
      </c>
      <c r="F25" s="544"/>
      <c r="G25" s="544"/>
      <c r="H25" s="544"/>
      <c r="I25" s="544"/>
      <c r="J25" s="544"/>
      <c r="K25" s="544"/>
      <c r="L25" s="544"/>
      <c r="M25" s="544"/>
      <c r="N25" s="544"/>
      <c r="O25" s="544"/>
    </row>
  </sheetData>
  <mergeCells count="8">
    <mergeCell ref="D4:G4"/>
    <mergeCell ref="A6:G6"/>
    <mergeCell ref="A7:E7"/>
    <mergeCell ref="A8:A9"/>
    <mergeCell ref="B8:B10"/>
    <mergeCell ref="C8:E8"/>
    <mergeCell ref="F8:F9"/>
    <mergeCell ref="G8:G10"/>
  </mergeCells>
  <pageMargins left="0.34" right="0.17" top="0.98425196850393704" bottom="0.98425196850393704" header="0.51181102362204722" footer="0.51181102362204722"/>
  <pageSetup paperSize="9" orientation="portrait" horizontalDpi="200" verticalDpi="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R38"/>
  <sheetViews>
    <sheetView topLeftCell="A3" zoomScaleNormal="100" workbookViewId="0">
      <selection activeCell="I28" sqref="I28"/>
    </sheetView>
  </sheetViews>
  <sheetFormatPr defaultRowHeight="12.75" x14ac:dyDescent="0.2"/>
  <cols>
    <col min="1" max="1" width="15.5703125" style="515" customWidth="1"/>
    <col min="2" max="2" width="12.42578125" style="515" customWidth="1"/>
    <col min="3" max="3" width="7.28515625" style="515" customWidth="1"/>
    <col min="4" max="4" width="12.28515625" style="515" customWidth="1"/>
    <col min="5" max="5" width="9.42578125" style="515" customWidth="1"/>
    <col min="6" max="6" width="11.7109375" style="515" customWidth="1"/>
    <col min="7" max="8" width="9.140625" style="515"/>
    <col min="9" max="9" width="7.7109375" style="515" bestFit="1" customWidth="1"/>
    <col min="10" max="10" width="14.7109375" style="515" customWidth="1"/>
    <col min="11" max="11" width="8.7109375" style="515" hidden="1" customWidth="1"/>
    <col min="12" max="12" width="12.28515625" style="515" bestFit="1" customWidth="1"/>
    <col min="13" max="13" width="12.42578125" style="515" customWidth="1"/>
    <col min="14" max="14" width="14.140625" style="515" bestFit="1" customWidth="1"/>
    <col min="15" max="16" width="9.140625" style="515"/>
    <col min="17" max="17" width="10.140625" style="515" bestFit="1" customWidth="1"/>
    <col min="18" max="18" width="10" style="515" bestFit="1" customWidth="1"/>
    <col min="19" max="255" width="9.140625" style="515"/>
    <col min="256" max="256" width="14.7109375" style="515" customWidth="1"/>
    <col min="257" max="257" width="12.42578125" style="515" customWidth="1"/>
    <col min="258" max="258" width="6.28515625" style="515" customWidth="1"/>
    <col min="259" max="259" width="12.28515625" style="515" customWidth="1"/>
    <col min="260" max="260" width="9.42578125" style="515" customWidth="1"/>
    <col min="261" max="261" width="11.7109375" style="515" customWidth="1"/>
    <col min="262" max="263" width="9.140625" style="515"/>
    <col min="264" max="264" width="14.7109375" style="515" customWidth="1"/>
    <col min="265" max="265" width="0" style="515" hidden="1" customWidth="1"/>
    <col min="266" max="266" width="14.140625" style="515" customWidth="1"/>
    <col min="267" max="267" width="12.42578125" style="515" customWidth="1"/>
    <col min="268" max="268" width="15.140625" style="515" customWidth="1"/>
    <col min="269" max="269" width="9.85546875" style="515" bestFit="1" customWidth="1"/>
    <col min="270" max="511" width="9.140625" style="515"/>
    <col min="512" max="512" width="14.7109375" style="515" customWidth="1"/>
    <col min="513" max="513" width="12.42578125" style="515" customWidth="1"/>
    <col min="514" max="514" width="6.28515625" style="515" customWidth="1"/>
    <col min="515" max="515" width="12.28515625" style="515" customWidth="1"/>
    <col min="516" max="516" width="9.42578125" style="515" customWidth="1"/>
    <col min="517" max="517" width="11.7109375" style="515" customWidth="1"/>
    <col min="518" max="519" width="9.140625" style="515"/>
    <col min="520" max="520" width="14.7109375" style="515" customWidth="1"/>
    <col min="521" max="521" width="0" style="515" hidden="1" customWidth="1"/>
    <col min="522" max="522" width="14.140625" style="515" customWidth="1"/>
    <col min="523" max="523" width="12.42578125" style="515" customWidth="1"/>
    <col min="524" max="524" width="15.140625" style="515" customWidth="1"/>
    <col min="525" max="525" width="9.85546875" style="515" bestFit="1" customWidth="1"/>
    <col min="526" max="767" width="9.140625" style="515"/>
    <col min="768" max="768" width="14.7109375" style="515" customWidth="1"/>
    <col min="769" max="769" width="12.42578125" style="515" customWidth="1"/>
    <col min="770" max="770" width="6.28515625" style="515" customWidth="1"/>
    <col min="771" max="771" width="12.28515625" style="515" customWidth="1"/>
    <col min="772" max="772" width="9.42578125" style="515" customWidth="1"/>
    <col min="773" max="773" width="11.7109375" style="515" customWidth="1"/>
    <col min="774" max="775" width="9.140625" style="515"/>
    <col min="776" max="776" width="14.7109375" style="515" customWidth="1"/>
    <col min="777" max="777" width="0" style="515" hidden="1" customWidth="1"/>
    <col min="778" max="778" width="14.140625" style="515" customWidth="1"/>
    <col min="779" max="779" width="12.42578125" style="515" customWidth="1"/>
    <col min="780" max="780" width="15.140625" style="515" customWidth="1"/>
    <col min="781" max="781" width="9.85546875" style="515" bestFit="1" customWidth="1"/>
    <col min="782" max="1023" width="9.140625" style="515"/>
    <col min="1024" max="1024" width="14.7109375" style="515" customWidth="1"/>
    <col min="1025" max="1025" width="12.42578125" style="515" customWidth="1"/>
    <col min="1026" max="1026" width="6.28515625" style="515" customWidth="1"/>
    <col min="1027" max="1027" width="12.28515625" style="515" customWidth="1"/>
    <col min="1028" max="1028" width="9.42578125" style="515" customWidth="1"/>
    <col min="1029" max="1029" width="11.7109375" style="515" customWidth="1"/>
    <col min="1030" max="1031" width="9.140625" style="515"/>
    <col min="1032" max="1032" width="14.7109375" style="515" customWidth="1"/>
    <col min="1033" max="1033" width="0" style="515" hidden="1" customWidth="1"/>
    <col min="1034" max="1034" width="14.140625" style="515" customWidth="1"/>
    <col min="1035" max="1035" width="12.42578125" style="515" customWidth="1"/>
    <col min="1036" max="1036" width="15.140625" style="515" customWidth="1"/>
    <col min="1037" max="1037" width="9.85546875" style="515" bestFit="1" customWidth="1"/>
    <col min="1038" max="1279" width="9.140625" style="515"/>
    <col min="1280" max="1280" width="14.7109375" style="515" customWidth="1"/>
    <col min="1281" max="1281" width="12.42578125" style="515" customWidth="1"/>
    <col min="1282" max="1282" width="6.28515625" style="515" customWidth="1"/>
    <col min="1283" max="1283" width="12.28515625" style="515" customWidth="1"/>
    <col min="1284" max="1284" width="9.42578125" style="515" customWidth="1"/>
    <col min="1285" max="1285" width="11.7109375" style="515" customWidth="1"/>
    <col min="1286" max="1287" width="9.140625" style="515"/>
    <col min="1288" max="1288" width="14.7109375" style="515" customWidth="1"/>
    <col min="1289" max="1289" width="0" style="515" hidden="1" customWidth="1"/>
    <col min="1290" max="1290" width="14.140625" style="515" customWidth="1"/>
    <col min="1291" max="1291" width="12.42578125" style="515" customWidth="1"/>
    <col min="1292" max="1292" width="15.140625" style="515" customWidth="1"/>
    <col min="1293" max="1293" width="9.85546875" style="515" bestFit="1" customWidth="1"/>
    <col min="1294" max="1535" width="9.140625" style="515"/>
    <col min="1536" max="1536" width="14.7109375" style="515" customWidth="1"/>
    <col min="1537" max="1537" width="12.42578125" style="515" customWidth="1"/>
    <col min="1538" max="1538" width="6.28515625" style="515" customWidth="1"/>
    <col min="1539" max="1539" width="12.28515625" style="515" customWidth="1"/>
    <col min="1540" max="1540" width="9.42578125" style="515" customWidth="1"/>
    <col min="1541" max="1541" width="11.7109375" style="515" customWidth="1"/>
    <col min="1542" max="1543" width="9.140625" style="515"/>
    <col min="1544" max="1544" width="14.7109375" style="515" customWidth="1"/>
    <col min="1545" max="1545" width="0" style="515" hidden="1" customWidth="1"/>
    <col min="1546" max="1546" width="14.140625" style="515" customWidth="1"/>
    <col min="1547" max="1547" width="12.42578125" style="515" customWidth="1"/>
    <col min="1548" max="1548" width="15.140625" style="515" customWidth="1"/>
    <col min="1549" max="1549" width="9.85546875" style="515" bestFit="1" customWidth="1"/>
    <col min="1550" max="1791" width="9.140625" style="515"/>
    <col min="1792" max="1792" width="14.7109375" style="515" customWidth="1"/>
    <col min="1793" max="1793" width="12.42578125" style="515" customWidth="1"/>
    <col min="1794" max="1794" width="6.28515625" style="515" customWidth="1"/>
    <col min="1795" max="1795" width="12.28515625" style="515" customWidth="1"/>
    <col min="1796" max="1796" width="9.42578125" style="515" customWidth="1"/>
    <col min="1797" max="1797" width="11.7109375" style="515" customWidth="1"/>
    <col min="1798" max="1799" width="9.140625" style="515"/>
    <col min="1800" max="1800" width="14.7109375" style="515" customWidth="1"/>
    <col min="1801" max="1801" width="0" style="515" hidden="1" customWidth="1"/>
    <col min="1802" max="1802" width="14.140625" style="515" customWidth="1"/>
    <col min="1803" max="1803" width="12.42578125" style="515" customWidth="1"/>
    <col min="1804" max="1804" width="15.140625" style="515" customWidth="1"/>
    <col min="1805" max="1805" width="9.85546875" style="515" bestFit="1" customWidth="1"/>
    <col min="1806" max="2047" width="9.140625" style="515"/>
    <col min="2048" max="2048" width="14.7109375" style="515" customWidth="1"/>
    <col min="2049" max="2049" width="12.42578125" style="515" customWidth="1"/>
    <col min="2050" max="2050" width="6.28515625" style="515" customWidth="1"/>
    <col min="2051" max="2051" width="12.28515625" style="515" customWidth="1"/>
    <col min="2052" max="2052" width="9.42578125" style="515" customWidth="1"/>
    <col min="2053" max="2053" width="11.7109375" style="515" customWidth="1"/>
    <col min="2054" max="2055" width="9.140625" style="515"/>
    <col min="2056" max="2056" width="14.7109375" style="515" customWidth="1"/>
    <col min="2057" max="2057" width="0" style="515" hidden="1" customWidth="1"/>
    <col min="2058" max="2058" width="14.140625" style="515" customWidth="1"/>
    <col min="2059" max="2059" width="12.42578125" style="515" customWidth="1"/>
    <col min="2060" max="2060" width="15.140625" style="515" customWidth="1"/>
    <col min="2061" max="2061" width="9.85546875" style="515" bestFit="1" customWidth="1"/>
    <col min="2062" max="2303" width="9.140625" style="515"/>
    <col min="2304" max="2304" width="14.7109375" style="515" customWidth="1"/>
    <col min="2305" max="2305" width="12.42578125" style="515" customWidth="1"/>
    <col min="2306" max="2306" width="6.28515625" style="515" customWidth="1"/>
    <col min="2307" max="2307" width="12.28515625" style="515" customWidth="1"/>
    <col min="2308" max="2308" width="9.42578125" style="515" customWidth="1"/>
    <col min="2309" max="2309" width="11.7109375" style="515" customWidth="1"/>
    <col min="2310" max="2311" width="9.140625" style="515"/>
    <col min="2312" max="2312" width="14.7109375" style="515" customWidth="1"/>
    <col min="2313" max="2313" width="0" style="515" hidden="1" customWidth="1"/>
    <col min="2314" max="2314" width="14.140625" style="515" customWidth="1"/>
    <col min="2315" max="2315" width="12.42578125" style="515" customWidth="1"/>
    <col min="2316" max="2316" width="15.140625" style="515" customWidth="1"/>
    <col min="2317" max="2317" width="9.85546875" style="515" bestFit="1" customWidth="1"/>
    <col min="2318" max="2559" width="9.140625" style="515"/>
    <col min="2560" max="2560" width="14.7109375" style="515" customWidth="1"/>
    <col min="2561" max="2561" width="12.42578125" style="515" customWidth="1"/>
    <col min="2562" max="2562" width="6.28515625" style="515" customWidth="1"/>
    <col min="2563" max="2563" width="12.28515625" style="515" customWidth="1"/>
    <col min="2564" max="2564" width="9.42578125" style="515" customWidth="1"/>
    <col min="2565" max="2565" width="11.7109375" style="515" customWidth="1"/>
    <col min="2566" max="2567" width="9.140625" style="515"/>
    <col min="2568" max="2568" width="14.7109375" style="515" customWidth="1"/>
    <col min="2569" max="2569" width="0" style="515" hidden="1" customWidth="1"/>
    <col min="2570" max="2570" width="14.140625" style="515" customWidth="1"/>
    <col min="2571" max="2571" width="12.42578125" style="515" customWidth="1"/>
    <col min="2572" max="2572" width="15.140625" style="515" customWidth="1"/>
    <col min="2573" max="2573" width="9.85546875" style="515" bestFit="1" customWidth="1"/>
    <col min="2574" max="2815" width="9.140625" style="515"/>
    <col min="2816" max="2816" width="14.7109375" style="515" customWidth="1"/>
    <col min="2817" max="2817" width="12.42578125" style="515" customWidth="1"/>
    <col min="2818" max="2818" width="6.28515625" style="515" customWidth="1"/>
    <col min="2819" max="2819" width="12.28515625" style="515" customWidth="1"/>
    <col min="2820" max="2820" width="9.42578125" style="515" customWidth="1"/>
    <col min="2821" max="2821" width="11.7109375" style="515" customWidth="1"/>
    <col min="2822" max="2823" width="9.140625" style="515"/>
    <col min="2824" max="2824" width="14.7109375" style="515" customWidth="1"/>
    <col min="2825" max="2825" width="0" style="515" hidden="1" customWidth="1"/>
    <col min="2826" max="2826" width="14.140625" style="515" customWidth="1"/>
    <col min="2827" max="2827" width="12.42578125" style="515" customWidth="1"/>
    <col min="2828" max="2828" width="15.140625" style="515" customWidth="1"/>
    <col min="2829" max="2829" width="9.85546875" style="515" bestFit="1" customWidth="1"/>
    <col min="2830" max="3071" width="9.140625" style="515"/>
    <col min="3072" max="3072" width="14.7109375" style="515" customWidth="1"/>
    <col min="3073" max="3073" width="12.42578125" style="515" customWidth="1"/>
    <col min="3074" max="3074" width="6.28515625" style="515" customWidth="1"/>
    <col min="3075" max="3075" width="12.28515625" style="515" customWidth="1"/>
    <col min="3076" max="3076" width="9.42578125" style="515" customWidth="1"/>
    <col min="3077" max="3077" width="11.7109375" style="515" customWidth="1"/>
    <col min="3078" max="3079" width="9.140625" style="515"/>
    <col min="3080" max="3080" width="14.7109375" style="515" customWidth="1"/>
    <col min="3081" max="3081" width="0" style="515" hidden="1" customWidth="1"/>
    <col min="3082" max="3082" width="14.140625" style="515" customWidth="1"/>
    <col min="3083" max="3083" width="12.42578125" style="515" customWidth="1"/>
    <col min="3084" max="3084" width="15.140625" style="515" customWidth="1"/>
    <col min="3085" max="3085" width="9.85546875" style="515" bestFit="1" customWidth="1"/>
    <col min="3086" max="3327" width="9.140625" style="515"/>
    <col min="3328" max="3328" width="14.7109375" style="515" customWidth="1"/>
    <col min="3329" max="3329" width="12.42578125" style="515" customWidth="1"/>
    <col min="3330" max="3330" width="6.28515625" style="515" customWidth="1"/>
    <col min="3331" max="3331" width="12.28515625" style="515" customWidth="1"/>
    <col min="3332" max="3332" width="9.42578125" style="515" customWidth="1"/>
    <col min="3333" max="3333" width="11.7109375" style="515" customWidth="1"/>
    <col min="3334" max="3335" width="9.140625" style="515"/>
    <col min="3336" max="3336" width="14.7109375" style="515" customWidth="1"/>
    <col min="3337" max="3337" width="0" style="515" hidden="1" customWidth="1"/>
    <col min="3338" max="3338" width="14.140625" style="515" customWidth="1"/>
    <col min="3339" max="3339" width="12.42578125" style="515" customWidth="1"/>
    <col min="3340" max="3340" width="15.140625" style="515" customWidth="1"/>
    <col min="3341" max="3341" width="9.85546875" style="515" bestFit="1" customWidth="1"/>
    <col min="3342" max="3583" width="9.140625" style="515"/>
    <col min="3584" max="3584" width="14.7109375" style="515" customWidth="1"/>
    <col min="3585" max="3585" width="12.42578125" style="515" customWidth="1"/>
    <col min="3586" max="3586" width="6.28515625" style="515" customWidth="1"/>
    <col min="3587" max="3587" width="12.28515625" style="515" customWidth="1"/>
    <col min="3588" max="3588" width="9.42578125" style="515" customWidth="1"/>
    <col min="3589" max="3589" width="11.7109375" style="515" customWidth="1"/>
    <col min="3590" max="3591" width="9.140625" style="515"/>
    <col min="3592" max="3592" width="14.7109375" style="515" customWidth="1"/>
    <col min="3593" max="3593" width="0" style="515" hidden="1" customWidth="1"/>
    <col min="3594" max="3594" width="14.140625" style="515" customWidth="1"/>
    <col min="3595" max="3595" width="12.42578125" style="515" customWidth="1"/>
    <col min="3596" max="3596" width="15.140625" style="515" customWidth="1"/>
    <col min="3597" max="3597" width="9.85546875" style="515" bestFit="1" customWidth="1"/>
    <col min="3598" max="3839" width="9.140625" style="515"/>
    <col min="3840" max="3840" width="14.7109375" style="515" customWidth="1"/>
    <col min="3841" max="3841" width="12.42578125" style="515" customWidth="1"/>
    <col min="3842" max="3842" width="6.28515625" style="515" customWidth="1"/>
    <col min="3843" max="3843" width="12.28515625" style="515" customWidth="1"/>
    <col min="3844" max="3844" width="9.42578125" style="515" customWidth="1"/>
    <col min="3845" max="3845" width="11.7109375" style="515" customWidth="1"/>
    <col min="3846" max="3847" width="9.140625" style="515"/>
    <col min="3848" max="3848" width="14.7109375" style="515" customWidth="1"/>
    <col min="3849" max="3849" width="0" style="515" hidden="1" customWidth="1"/>
    <col min="3850" max="3850" width="14.140625" style="515" customWidth="1"/>
    <col min="3851" max="3851" width="12.42578125" style="515" customWidth="1"/>
    <col min="3852" max="3852" width="15.140625" style="515" customWidth="1"/>
    <col min="3853" max="3853" width="9.85546875" style="515" bestFit="1" customWidth="1"/>
    <col min="3854" max="4095" width="9.140625" style="515"/>
    <col min="4096" max="4096" width="14.7109375" style="515" customWidth="1"/>
    <col min="4097" max="4097" width="12.42578125" style="515" customWidth="1"/>
    <col min="4098" max="4098" width="6.28515625" style="515" customWidth="1"/>
    <col min="4099" max="4099" width="12.28515625" style="515" customWidth="1"/>
    <col min="4100" max="4100" width="9.42578125" style="515" customWidth="1"/>
    <col min="4101" max="4101" width="11.7109375" style="515" customWidth="1"/>
    <col min="4102" max="4103" width="9.140625" style="515"/>
    <col min="4104" max="4104" width="14.7109375" style="515" customWidth="1"/>
    <col min="4105" max="4105" width="0" style="515" hidden="1" customWidth="1"/>
    <col min="4106" max="4106" width="14.140625" style="515" customWidth="1"/>
    <col min="4107" max="4107" width="12.42578125" style="515" customWidth="1"/>
    <col min="4108" max="4108" width="15.140625" style="515" customWidth="1"/>
    <col min="4109" max="4109" width="9.85546875" style="515" bestFit="1" customWidth="1"/>
    <col min="4110" max="4351" width="9.140625" style="515"/>
    <col min="4352" max="4352" width="14.7109375" style="515" customWidth="1"/>
    <col min="4353" max="4353" width="12.42578125" style="515" customWidth="1"/>
    <col min="4354" max="4354" width="6.28515625" style="515" customWidth="1"/>
    <col min="4355" max="4355" width="12.28515625" style="515" customWidth="1"/>
    <col min="4356" max="4356" width="9.42578125" style="515" customWidth="1"/>
    <col min="4357" max="4357" width="11.7109375" style="515" customWidth="1"/>
    <col min="4358" max="4359" width="9.140625" style="515"/>
    <col min="4360" max="4360" width="14.7109375" style="515" customWidth="1"/>
    <col min="4361" max="4361" width="0" style="515" hidden="1" customWidth="1"/>
    <col min="4362" max="4362" width="14.140625" style="515" customWidth="1"/>
    <col min="4363" max="4363" width="12.42578125" style="515" customWidth="1"/>
    <col min="4364" max="4364" width="15.140625" style="515" customWidth="1"/>
    <col min="4365" max="4365" width="9.85546875" style="515" bestFit="1" customWidth="1"/>
    <col min="4366" max="4607" width="9.140625" style="515"/>
    <col min="4608" max="4608" width="14.7109375" style="515" customWidth="1"/>
    <col min="4609" max="4609" width="12.42578125" style="515" customWidth="1"/>
    <col min="4610" max="4610" width="6.28515625" style="515" customWidth="1"/>
    <col min="4611" max="4611" width="12.28515625" style="515" customWidth="1"/>
    <col min="4612" max="4612" width="9.42578125" style="515" customWidth="1"/>
    <col min="4613" max="4613" width="11.7109375" style="515" customWidth="1"/>
    <col min="4614" max="4615" width="9.140625" style="515"/>
    <col min="4616" max="4616" width="14.7109375" style="515" customWidth="1"/>
    <col min="4617" max="4617" width="0" style="515" hidden="1" customWidth="1"/>
    <col min="4618" max="4618" width="14.140625" style="515" customWidth="1"/>
    <col min="4619" max="4619" width="12.42578125" style="515" customWidth="1"/>
    <col min="4620" max="4620" width="15.140625" style="515" customWidth="1"/>
    <col min="4621" max="4621" width="9.85546875" style="515" bestFit="1" customWidth="1"/>
    <col min="4622" max="4863" width="9.140625" style="515"/>
    <col min="4864" max="4864" width="14.7109375" style="515" customWidth="1"/>
    <col min="4865" max="4865" width="12.42578125" style="515" customWidth="1"/>
    <col min="4866" max="4866" width="6.28515625" style="515" customWidth="1"/>
    <col min="4867" max="4867" width="12.28515625" style="515" customWidth="1"/>
    <col min="4868" max="4868" width="9.42578125" style="515" customWidth="1"/>
    <col min="4869" max="4869" width="11.7109375" style="515" customWidth="1"/>
    <col min="4870" max="4871" width="9.140625" style="515"/>
    <col min="4872" max="4872" width="14.7109375" style="515" customWidth="1"/>
    <col min="4873" max="4873" width="0" style="515" hidden="1" customWidth="1"/>
    <col min="4874" max="4874" width="14.140625" style="515" customWidth="1"/>
    <col min="4875" max="4875" width="12.42578125" style="515" customWidth="1"/>
    <col min="4876" max="4876" width="15.140625" style="515" customWidth="1"/>
    <col min="4877" max="4877" width="9.85546875" style="515" bestFit="1" customWidth="1"/>
    <col min="4878" max="5119" width="9.140625" style="515"/>
    <col min="5120" max="5120" width="14.7109375" style="515" customWidth="1"/>
    <col min="5121" max="5121" width="12.42578125" style="515" customWidth="1"/>
    <col min="5122" max="5122" width="6.28515625" style="515" customWidth="1"/>
    <col min="5123" max="5123" width="12.28515625" style="515" customWidth="1"/>
    <col min="5124" max="5124" width="9.42578125" style="515" customWidth="1"/>
    <col min="5125" max="5125" width="11.7109375" style="515" customWidth="1"/>
    <col min="5126" max="5127" width="9.140625" style="515"/>
    <col min="5128" max="5128" width="14.7109375" style="515" customWidth="1"/>
    <col min="5129" max="5129" width="0" style="515" hidden="1" customWidth="1"/>
    <col min="5130" max="5130" width="14.140625" style="515" customWidth="1"/>
    <col min="5131" max="5131" width="12.42578125" style="515" customWidth="1"/>
    <col min="5132" max="5132" width="15.140625" style="515" customWidth="1"/>
    <col min="5133" max="5133" width="9.85546875" style="515" bestFit="1" customWidth="1"/>
    <col min="5134" max="5375" width="9.140625" style="515"/>
    <col min="5376" max="5376" width="14.7109375" style="515" customWidth="1"/>
    <col min="5377" max="5377" width="12.42578125" style="515" customWidth="1"/>
    <col min="5378" max="5378" width="6.28515625" style="515" customWidth="1"/>
    <col min="5379" max="5379" width="12.28515625" style="515" customWidth="1"/>
    <col min="5380" max="5380" width="9.42578125" style="515" customWidth="1"/>
    <col min="5381" max="5381" width="11.7109375" style="515" customWidth="1"/>
    <col min="5382" max="5383" width="9.140625" style="515"/>
    <col min="5384" max="5384" width="14.7109375" style="515" customWidth="1"/>
    <col min="5385" max="5385" width="0" style="515" hidden="1" customWidth="1"/>
    <col min="5386" max="5386" width="14.140625" style="515" customWidth="1"/>
    <col min="5387" max="5387" width="12.42578125" style="515" customWidth="1"/>
    <col min="5388" max="5388" width="15.140625" style="515" customWidth="1"/>
    <col min="5389" max="5389" width="9.85546875" style="515" bestFit="1" customWidth="1"/>
    <col min="5390" max="5631" width="9.140625" style="515"/>
    <col min="5632" max="5632" width="14.7109375" style="515" customWidth="1"/>
    <col min="5633" max="5633" width="12.42578125" style="515" customWidth="1"/>
    <col min="5634" max="5634" width="6.28515625" style="515" customWidth="1"/>
    <col min="5635" max="5635" width="12.28515625" style="515" customWidth="1"/>
    <col min="5636" max="5636" width="9.42578125" style="515" customWidth="1"/>
    <col min="5637" max="5637" width="11.7109375" style="515" customWidth="1"/>
    <col min="5638" max="5639" width="9.140625" style="515"/>
    <col min="5640" max="5640" width="14.7109375" style="515" customWidth="1"/>
    <col min="5641" max="5641" width="0" style="515" hidden="1" customWidth="1"/>
    <col min="5642" max="5642" width="14.140625" style="515" customWidth="1"/>
    <col min="5643" max="5643" width="12.42578125" style="515" customWidth="1"/>
    <col min="5644" max="5644" width="15.140625" style="515" customWidth="1"/>
    <col min="5645" max="5645" width="9.85546875" style="515" bestFit="1" customWidth="1"/>
    <col min="5646" max="5887" width="9.140625" style="515"/>
    <col min="5888" max="5888" width="14.7109375" style="515" customWidth="1"/>
    <col min="5889" max="5889" width="12.42578125" style="515" customWidth="1"/>
    <col min="5890" max="5890" width="6.28515625" style="515" customWidth="1"/>
    <col min="5891" max="5891" width="12.28515625" style="515" customWidth="1"/>
    <col min="5892" max="5892" width="9.42578125" style="515" customWidth="1"/>
    <col min="5893" max="5893" width="11.7109375" style="515" customWidth="1"/>
    <col min="5894" max="5895" width="9.140625" style="515"/>
    <col min="5896" max="5896" width="14.7109375" style="515" customWidth="1"/>
    <col min="5897" max="5897" width="0" style="515" hidden="1" customWidth="1"/>
    <col min="5898" max="5898" width="14.140625" style="515" customWidth="1"/>
    <col min="5899" max="5899" width="12.42578125" style="515" customWidth="1"/>
    <col min="5900" max="5900" width="15.140625" style="515" customWidth="1"/>
    <col min="5901" max="5901" width="9.85546875" style="515" bestFit="1" customWidth="1"/>
    <col min="5902" max="6143" width="9.140625" style="515"/>
    <col min="6144" max="6144" width="14.7109375" style="515" customWidth="1"/>
    <col min="6145" max="6145" width="12.42578125" style="515" customWidth="1"/>
    <col min="6146" max="6146" width="6.28515625" style="515" customWidth="1"/>
    <col min="6147" max="6147" width="12.28515625" style="515" customWidth="1"/>
    <col min="6148" max="6148" width="9.42578125" style="515" customWidth="1"/>
    <col min="6149" max="6149" width="11.7109375" style="515" customWidth="1"/>
    <col min="6150" max="6151" width="9.140625" style="515"/>
    <col min="6152" max="6152" width="14.7109375" style="515" customWidth="1"/>
    <col min="6153" max="6153" width="0" style="515" hidden="1" customWidth="1"/>
    <col min="6154" max="6154" width="14.140625" style="515" customWidth="1"/>
    <col min="6155" max="6155" width="12.42578125" style="515" customWidth="1"/>
    <col min="6156" max="6156" width="15.140625" style="515" customWidth="1"/>
    <col min="6157" max="6157" width="9.85546875" style="515" bestFit="1" customWidth="1"/>
    <col min="6158" max="6399" width="9.140625" style="515"/>
    <col min="6400" max="6400" width="14.7109375" style="515" customWidth="1"/>
    <col min="6401" max="6401" width="12.42578125" style="515" customWidth="1"/>
    <col min="6402" max="6402" width="6.28515625" style="515" customWidth="1"/>
    <col min="6403" max="6403" width="12.28515625" style="515" customWidth="1"/>
    <col min="6404" max="6404" width="9.42578125" style="515" customWidth="1"/>
    <col min="6405" max="6405" width="11.7109375" style="515" customWidth="1"/>
    <col min="6406" max="6407" width="9.140625" style="515"/>
    <col min="6408" max="6408" width="14.7109375" style="515" customWidth="1"/>
    <col min="6409" max="6409" width="0" style="515" hidden="1" customWidth="1"/>
    <col min="6410" max="6410" width="14.140625" style="515" customWidth="1"/>
    <col min="6411" max="6411" width="12.42578125" style="515" customWidth="1"/>
    <col min="6412" max="6412" width="15.140625" style="515" customWidth="1"/>
    <col min="6413" max="6413" width="9.85546875" style="515" bestFit="1" customWidth="1"/>
    <col min="6414" max="6655" width="9.140625" style="515"/>
    <col min="6656" max="6656" width="14.7109375" style="515" customWidth="1"/>
    <col min="6657" max="6657" width="12.42578125" style="515" customWidth="1"/>
    <col min="6658" max="6658" width="6.28515625" style="515" customWidth="1"/>
    <col min="6659" max="6659" width="12.28515625" style="515" customWidth="1"/>
    <col min="6660" max="6660" width="9.42578125" style="515" customWidth="1"/>
    <col min="6661" max="6661" width="11.7109375" style="515" customWidth="1"/>
    <col min="6662" max="6663" width="9.140625" style="515"/>
    <col min="6664" max="6664" width="14.7109375" style="515" customWidth="1"/>
    <col min="6665" max="6665" width="0" style="515" hidden="1" customWidth="1"/>
    <col min="6666" max="6666" width="14.140625" style="515" customWidth="1"/>
    <col min="6667" max="6667" width="12.42578125" style="515" customWidth="1"/>
    <col min="6668" max="6668" width="15.140625" style="515" customWidth="1"/>
    <col min="6669" max="6669" width="9.85546875" style="515" bestFit="1" customWidth="1"/>
    <col min="6670" max="6911" width="9.140625" style="515"/>
    <col min="6912" max="6912" width="14.7109375" style="515" customWidth="1"/>
    <col min="6913" max="6913" width="12.42578125" style="515" customWidth="1"/>
    <col min="6914" max="6914" width="6.28515625" style="515" customWidth="1"/>
    <col min="6915" max="6915" width="12.28515625" style="515" customWidth="1"/>
    <col min="6916" max="6916" width="9.42578125" style="515" customWidth="1"/>
    <col min="6917" max="6917" width="11.7109375" style="515" customWidth="1"/>
    <col min="6918" max="6919" width="9.140625" style="515"/>
    <col min="6920" max="6920" width="14.7109375" style="515" customWidth="1"/>
    <col min="6921" max="6921" width="0" style="515" hidden="1" customWidth="1"/>
    <col min="6922" max="6922" width="14.140625" style="515" customWidth="1"/>
    <col min="6923" max="6923" width="12.42578125" style="515" customWidth="1"/>
    <col min="6924" max="6924" width="15.140625" style="515" customWidth="1"/>
    <col min="6925" max="6925" width="9.85546875" style="515" bestFit="1" customWidth="1"/>
    <col min="6926" max="7167" width="9.140625" style="515"/>
    <col min="7168" max="7168" width="14.7109375" style="515" customWidth="1"/>
    <col min="7169" max="7169" width="12.42578125" style="515" customWidth="1"/>
    <col min="7170" max="7170" width="6.28515625" style="515" customWidth="1"/>
    <col min="7171" max="7171" width="12.28515625" style="515" customWidth="1"/>
    <col min="7172" max="7172" width="9.42578125" style="515" customWidth="1"/>
    <col min="7173" max="7173" width="11.7109375" style="515" customWidth="1"/>
    <col min="7174" max="7175" width="9.140625" style="515"/>
    <col min="7176" max="7176" width="14.7109375" style="515" customWidth="1"/>
    <col min="7177" max="7177" width="0" style="515" hidden="1" customWidth="1"/>
    <col min="7178" max="7178" width="14.140625" style="515" customWidth="1"/>
    <col min="7179" max="7179" width="12.42578125" style="515" customWidth="1"/>
    <col min="7180" max="7180" width="15.140625" style="515" customWidth="1"/>
    <col min="7181" max="7181" width="9.85546875" style="515" bestFit="1" customWidth="1"/>
    <col min="7182" max="7423" width="9.140625" style="515"/>
    <col min="7424" max="7424" width="14.7109375" style="515" customWidth="1"/>
    <col min="7425" max="7425" width="12.42578125" style="515" customWidth="1"/>
    <col min="7426" max="7426" width="6.28515625" style="515" customWidth="1"/>
    <col min="7427" max="7427" width="12.28515625" style="515" customWidth="1"/>
    <col min="7428" max="7428" width="9.42578125" style="515" customWidth="1"/>
    <col min="7429" max="7429" width="11.7109375" style="515" customWidth="1"/>
    <col min="7430" max="7431" width="9.140625" style="515"/>
    <col min="7432" max="7432" width="14.7109375" style="515" customWidth="1"/>
    <col min="7433" max="7433" width="0" style="515" hidden="1" customWidth="1"/>
    <col min="7434" max="7434" width="14.140625" style="515" customWidth="1"/>
    <col min="7435" max="7435" width="12.42578125" style="515" customWidth="1"/>
    <col min="7436" max="7436" width="15.140625" style="515" customWidth="1"/>
    <col min="7437" max="7437" width="9.85546875" style="515" bestFit="1" customWidth="1"/>
    <col min="7438" max="7679" width="9.140625" style="515"/>
    <col min="7680" max="7680" width="14.7109375" style="515" customWidth="1"/>
    <col min="7681" max="7681" width="12.42578125" style="515" customWidth="1"/>
    <col min="7682" max="7682" width="6.28515625" style="515" customWidth="1"/>
    <col min="7683" max="7683" width="12.28515625" style="515" customWidth="1"/>
    <col min="7684" max="7684" width="9.42578125" style="515" customWidth="1"/>
    <col min="7685" max="7685" width="11.7109375" style="515" customWidth="1"/>
    <col min="7686" max="7687" width="9.140625" style="515"/>
    <col min="7688" max="7688" width="14.7109375" style="515" customWidth="1"/>
    <col min="7689" max="7689" width="0" style="515" hidden="1" customWidth="1"/>
    <col min="7690" max="7690" width="14.140625" style="515" customWidth="1"/>
    <col min="7691" max="7691" width="12.42578125" style="515" customWidth="1"/>
    <col min="7692" max="7692" width="15.140625" style="515" customWidth="1"/>
    <col min="7693" max="7693" width="9.85546875" style="515" bestFit="1" customWidth="1"/>
    <col min="7694" max="7935" width="9.140625" style="515"/>
    <col min="7936" max="7936" width="14.7109375" style="515" customWidth="1"/>
    <col min="7937" max="7937" width="12.42578125" style="515" customWidth="1"/>
    <col min="7938" max="7938" width="6.28515625" style="515" customWidth="1"/>
    <col min="7939" max="7939" width="12.28515625" style="515" customWidth="1"/>
    <col min="7940" max="7940" width="9.42578125" style="515" customWidth="1"/>
    <col min="7941" max="7941" width="11.7109375" style="515" customWidth="1"/>
    <col min="7942" max="7943" width="9.140625" style="515"/>
    <col min="7944" max="7944" width="14.7109375" style="515" customWidth="1"/>
    <col min="7945" max="7945" width="0" style="515" hidden="1" customWidth="1"/>
    <col min="7946" max="7946" width="14.140625" style="515" customWidth="1"/>
    <col min="7947" max="7947" width="12.42578125" style="515" customWidth="1"/>
    <col min="7948" max="7948" width="15.140625" style="515" customWidth="1"/>
    <col min="7949" max="7949" width="9.85546875" style="515" bestFit="1" customWidth="1"/>
    <col min="7950" max="8191" width="9.140625" style="515"/>
    <col min="8192" max="8192" width="14.7109375" style="515" customWidth="1"/>
    <col min="8193" max="8193" width="12.42578125" style="515" customWidth="1"/>
    <col min="8194" max="8194" width="6.28515625" style="515" customWidth="1"/>
    <col min="8195" max="8195" width="12.28515625" style="515" customWidth="1"/>
    <col min="8196" max="8196" width="9.42578125" style="515" customWidth="1"/>
    <col min="8197" max="8197" width="11.7109375" style="515" customWidth="1"/>
    <col min="8198" max="8199" width="9.140625" style="515"/>
    <col min="8200" max="8200" width="14.7109375" style="515" customWidth="1"/>
    <col min="8201" max="8201" width="0" style="515" hidden="1" customWidth="1"/>
    <col min="8202" max="8202" width="14.140625" style="515" customWidth="1"/>
    <col min="8203" max="8203" width="12.42578125" style="515" customWidth="1"/>
    <col min="8204" max="8204" width="15.140625" style="515" customWidth="1"/>
    <col min="8205" max="8205" width="9.85546875" style="515" bestFit="1" customWidth="1"/>
    <col min="8206" max="8447" width="9.140625" style="515"/>
    <col min="8448" max="8448" width="14.7109375" style="515" customWidth="1"/>
    <col min="8449" max="8449" width="12.42578125" style="515" customWidth="1"/>
    <col min="8450" max="8450" width="6.28515625" style="515" customWidth="1"/>
    <col min="8451" max="8451" width="12.28515625" style="515" customWidth="1"/>
    <col min="8452" max="8452" width="9.42578125" style="515" customWidth="1"/>
    <col min="8453" max="8453" width="11.7109375" style="515" customWidth="1"/>
    <col min="8454" max="8455" width="9.140625" style="515"/>
    <col min="8456" max="8456" width="14.7109375" style="515" customWidth="1"/>
    <col min="8457" max="8457" width="0" style="515" hidden="1" customWidth="1"/>
    <col min="8458" max="8458" width="14.140625" style="515" customWidth="1"/>
    <col min="8459" max="8459" width="12.42578125" style="515" customWidth="1"/>
    <col min="8460" max="8460" width="15.140625" style="515" customWidth="1"/>
    <col min="8461" max="8461" width="9.85546875" style="515" bestFit="1" customWidth="1"/>
    <col min="8462" max="8703" width="9.140625" style="515"/>
    <col min="8704" max="8704" width="14.7109375" style="515" customWidth="1"/>
    <col min="8705" max="8705" width="12.42578125" style="515" customWidth="1"/>
    <col min="8706" max="8706" width="6.28515625" style="515" customWidth="1"/>
    <col min="8707" max="8707" width="12.28515625" style="515" customWidth="1"/>
    <col min="8708" max="8708" width="9.42578125" style="515" customWidth="1"/>
    <col min="8709" max="8709" width="11.7109375" style="515" customWidth="1"/>
    <col min="8710" max="8711" width="9.140625" style="515"/>
    <col min="8712" max="8712" width="14.7109375" style="515" customWidth="1"/>
    <col min="8713" max="8713" width="0" style="515" hidden="1" customWidth="1"/>
    <col min="8714" max="8714" width="14.140625" style="515" customWidth="1"/>
    <col min="8715" max="8715" width="12.42578125" style="515" customWidth="1"/>
    <col min="8716" max="8716" width="15.140625" style="515" customWidth="1"/>
    <col min="8717" max="8717" width="9.85546875" style="515" bestFit="1" customWidth="1"/>
    <col min="8718" max="8959" width="9.140625" style="515"/>
    <col min="8960" max="8960" width="14.7109375" style="515" customWidth="1"/>
    <col min="8961" max="8961" width="12.42578125" style="515" customWidth="1"/>
    <col min="8962" max="8962" width="6.28515625" style="515" customWidth="1"/>
    <col min="8963" max="8963" width="12.28515625" style="515" customWidth="1"/>
    <col min="8964" max="8964" width="9.42578125" style="515" customWidth="1"/>
    <col min="8965" max="8965" width="11.7109375" style="515" customWidth="1"/>
    <col min="8966" max="8967" width="9.140625" style="515"/>
    <col min="8968" max="8968" width="14.7109375" style="515" customWidth="1"/>
    <col min="8969" max="8969" width="0" style="515" hidden="1" customWidth="1"/>
    <col min="8970" max="8970" width="14.140625" style="515" customWidth="1"/>
    <col min="8971" max="8971" width="12.42578125" style="515" customWidth="1"/>
    <col min="8972" max="8972" width="15.140625" style="515" customWidth="1"/>
    <col min="8973" max="8973" width="9.85546875" style="515" bestFit="1" customWidth="1"/>
    <col min="8974" max="9215" width="9.140625" style="515"/>
    <col min="9216" max="9216" width="14.7109375" style="515" customWidth="1"/>
    <col min="9217" max="9217" width="12.42578125" style="515" customWidth="1"/>
    <col min="9218" max="9218" width="6.28515625" style="515" customWidth="1"/>
    <col min="9219" max="9219" width="12.28515625" style="515" customWidth="1"/>
    <col min="9220" max="9220" width="9.42578125" style="515" customWidth="1"/>
    <col min="9221" max="9221" width="11.7109375" style="515" customWidth="1"/>
    <col min="9222" max="9223" width="9.140625" style="515"/>
    <col min="9224" max="9224" width="14.7109375" style="515" customWidth="1"/>
    <col min="9225" max="9225" width="0" style="515" hidden="1" customWidth="1"/>
    <col min="9226" max="9226" width="14.140625" style="515" customWidth="1"/>
    <col min="9227" max="9227" width="12.42578125" style="515" customWidth="1"/>
    <col min="9228" max="9228" width="15.140625" style="515" customWidth="1"/>
    <col min="9229" max="9229" width="9.85546875" style="515" bestFit="1" customWidth="1"/>
    <col min="9230" max="9471" width="9.140625" style="515"/>
    <col min="9472" max="9472" width="14.7109375" style="515" customWidth="1"/>
    <col min="9473" max="9473" width="12.42578125" style="515" customWidth="1"/>
    <col min="9474" max="9474" width="6.28515625" style="515" customWidth="1"/>
    <col min="9475" max="9475" width="12.28515625" style="515" customWidth="1"/>
    <col min="9476" max="9476" width="9.42578125" style="515" customWidth="1"/>
    <col min="9477" max="9477" width="11.7109375" style="515" customWidth="1"/>
    <col min="9478" max="9479" width="9.140625" style="515"/>
    <col min="9480" max="9480" width="14.7109375" style="515" customWidth="1"/>
    <col min="9481" max="9481" width="0" style="515" hidden="1" customWidth="1"/>
    <col min="9482" max="9482" width="14.140625" style="515" customWidth="1"/>
    <col min="9483" max="9483" width="12.42578125" style="515" customWidth="1"/>
    <col min="9484" max="9484" width="15.140625" style="515" customWidth="1"/>
    <col min="9485" max="9485" width="9.85546875" style="515" bestFit="1" customWidth="1"/>
    <col min="9486" max="9727" width="9.140625" style="515"/>
    <col min="9728" max="9728" width="14.7109375" style="515" customWidth="1"/>
    <col min="9729" max="9729" width="12.42578125" style="515" customWidth="1"/>
    <col min="9730" max="9730" width="6.28515625" style="515" customWidth="1"/>
    <col min="9731" max="9731" width="12.28515625" style="515" customWidth="1"/>
    <col min="9732" max="9732" width="9.42578125" style="515" customWidth="1"/>
    <col min="9733" max="9733" width="11.7109375" style="515" customWidth="1"/>
    <col min="9734" max="9735" width="9.140625" style="515"/>
    <col min="9736" max="9736" width="14.7109375" style="515" customWidth="1"/>
    <col min="9737" max="9737" width="0" style="515" hidden="1" customWidth="1"/>
    <col min="9738" max="9738" width="14.140625" style="515" customWidth="1"/>
    <col min="9739" max="9739" width="12.42578125" style="515" customWidth="1"/>
    <col min="9740" max="9740" width="15.140625" style="515" customWidth="1"/>
    <col min="9741" max="9741" width="9.85546875" style="515" bestFit="1" customWidth="1"/>
    <col min="9742" max="9983" width="9.140625" style="515"/>
    <col min="9984" max="9984" width="14.7109375" style="515" customWidth="1"/>
    <col min="9985" max="9985" width="12.42578125" style="515" customWidth="1"/>
    <col min="9986" max="9986" width="6.28515625" style="515" customWidth="1"/>
    <col min="9987" max="9987" width="12.28515625" style="515" customWidth="1"/>
    <col min="9988" max="9988" width="9.42578125" style="515" customWidth="1"/>
    <col min="9989" max="9989" width="11.7109375" style="515" customWidth="1"/>
    <col min="9990" max="9991" width="9.140625" style="515"/>
    <col min="9992" max="9992" width="14.7109375" style="515" customWidth="1"/>
    <col min="9993" max="9993" width="0" style="515" hidden="1" customWidth="1"/>
    <col min="9994" max="9994" width="14.140625" style="515" customWidth="1"/>
    <col min="9995" max="9995" width="12.42578125" style="515" customWidth="1"/>
    <col min="9996" max="9996" width="15.140625" style="515" customWidth="1"/>
    <col min="9997" max="9997" width="9.85546875" style="515" bestFit="1" customWidth="1"/>
    <col min="9998" max="10239" width="9.140625" style="515"/>
    <col min="10240" max="10240" width="14.7109375" style="515" customWidth="1"/>
    <col min="10241" max="10241" width="12.42578125" style="515" customWidth="1"/>
    <col min="10242" max="10242" width="6.28515625" style="515" customWidth="1"/>
    <col min="10243" max="10243" width="12.28515625" style="515" customWidth="1"/>
    <col min="10244" max="10244" width="9.42578125" style="515" customWidth="1"/>
    <col min="10245" max="10245" width="11.7109375" style="515" customWidth="1"/>
    <col min="10246" max="10247" width="9.140625" style="515"/>
    <col min="10248" max="10248" width="14.7109375" style="515" customWidth="1"/>
    <col min="10249" max="10249" width="0" style="515" hidden="1" customWidth="1"/>
    <col min="10250" max="10250" width="14.140625" style="515" customWidth="1"/>
    <col min="10251" max="10251" width="12.42578125" style="515" customWidth="1"/>
    <col min="10252" max="10252" width="15.140625" style="515" customWidth="1"/>
    <col min="10253" max="10253" width="9.85546875" style="515" bestFit="1" customWidth="1"/>
    <col min="10254" max="10495" width="9.140625" style="515"/>
    <col min="10496" max="10496" width="14.7109375" style="515" customWidth="1"/>
    <col min="10497" max="10497" width="12.42578125" style="515" customWidth="1"/>
    <col min="10498" max="10498" width="6.28515625" style="515" customWidth="1"/>
    <col min="10499" max="10499" width="12.28515625" style="515" customWidth="1"/>
    <col min="10500" max="10500" width="9.42578125" style="515" customWidth="1"/>
    <col min="10501" max="10501" width="11.7109375" style="515" customWidth="1"/>
    <col min="10502" max="10503" width="9.140625" style="515"/>
    <col min="10504" max="10504" width="14.7109375" style="515" customWidth="1"/>
    <col min="10505" max="10505" width="0" style="515" hidden="1" customWidth="1"/>
    <col min="10506" max="10506" width="14.140625" style="515" customWidth="1"/>
    <col min="10507" max="10507" width="12.42578125" style="515" customWidth="1"/>
    <col min="10508" max="10508" width="15.140625" style="515" customWidth="1"/>
    <col min="10509" max="10509" width="9.85546875" style="515" bestFit="1" customWidth="1"/>
    <col min="10510" max="10751" width="9.140625" style="515"/>
    <col min="10752" max="10752" width="14.7109375" style="515" customWidth="1"/>
    <col min="10753" max="10753" width="12.42578125" style="515" customWidth="1"/>
    <col min="10754" max="10754" width="6.28515625" style="515" customWidth="1"/>
    <col min="10755" max="10755" width="12.28515625" style="515" customWidth="1"/>
    <col min="10756" max="10756" width="9.42578125" style="515" customWidth="1"/>
    <col min="10757" max="10757" width="11.7109375" style="515" customWidth="1"/>
    <col min="10758" max="10759" width="9.140625" style="515"/>
    <col min="10760" max="10760" width="14.7109375" style="515" customWidth="1"/>
    <col min="10761" max="10761" width="0" style="515" hidden="1" customWidth="1"/>
    <col min="10762" max="10762" width="14.140625" style="515" customWidth="1"/>
    <col min="10763" max="10763" width="12.42578125" style="515" customWidth="1"/>
    <col min="10764" max="10764" width="15.140625" style="515" customWidth="1"/>
    <col min="10765" max="10765" width="9.85546875" style="515" bestFit="1" customWidth="1"/>
    <col min="10766" max="11007" width="9.140625" style="515"/>
    <col min="11008" max="11008" width="14.7109375" style="515" customWidth="1"/>
    <col min="11009" max="11009" width="12.42578125" style="515" customWidth="1"/>
    <col min="11010" max="11010" width="6.28515625" style="515" customWidth="1"/>
    <col min="11011" max="11011" width="12.28515625" style="515" customWidth="1"/>
    <col min="11012" max="11012" width="9.42578125" style="515" customWidth="1"/>
    <col min="11013" max="11013" width="11.7109375" style="515" customWidth="1"/>
    <col min="11014" max="11015" width="9.140625" style="515"/>
    <col min="11016" max="11016" width="14.7109375" style="515" customWidth="1"/>
    <col min="11017" max="11017" width="0" style="515" hidden="1" customWidth="1"/>
    <col min="11018" max="11018" width="14.140625" style="515" customWidth="1"/>
    <col min="11019" max="11019" width="12.42578125" style="515" customWidth="1"/>
    <col min="11020" max="11020" width="15.140625" style="515" customWidth="1"/>
    <col min="11021" max="11021" width="9.85546875" style="515" bestFit="1" customWidth="1"/>
    <col min="11022" max="11263" width="9.140625" style="515"/>
    <col min="11264" max="11264" width="14.7109375" style="515" customWidth="1"/>
    <col min="11265" max="11265" width="12.42578125" style="515" customWidth="1"/>
    <col min="11266" max="11266" width="6.28515625" style="515" customWidth="1"/>
    <col min="11267" max="11267" width="12.28515625" style="515" customWidth="1"/>
    <col min="11268" max="11268" width="9.42578125" style="515" customWidth="1"/>
    <col min="11269" max="11269" width="11.7109375" style="515" customWidth="1"/>
    <col min="11270" max="11271" width="9.140625" style="515"/>
    <col min="11272" max="11272" width="14.7109375" style="515" customWidth="1"/>
    <col min="11273" max="11273" width="0" style="515" hidden="1" customWidth="1"/>
    <col min="11274" max="11274" width="14.140625" style="515" customWidth="1"/>
    <col min="11275" max="11275" width="12.42578125" style="515" customWidth="1"/>
    <col min="11276" max="11276" width="15.140625" style="515" customWidth="1"/>
    <col min="11277" max="11277" width="9.85546875" style="515" bestFit="1" customWidth="1"/>
    <col min="11278" max="11519" width="9.140625" style="515"/>
    <col min="11520" max="11520" width="14.7109375" style="515" customWidth="1"/>
    <col min="11521" max="11521" width="12.42578125" style="515" customWidth="1"/>
    <col min="11522" max="11522" width="6.28515625" style="515" customWidth="1"/>
    <col min="11523" max="11523" width="12.28515625" style="515" customWidth="1"/>
    <col min="11524" max="11524" width="9.42578125" style="515" customWidth="1"/>
    <col min="11525" max="11525" width="11.7109375" style="515" customWidth="1"/>
    <col min="11526" max="11527" width="9.140625" style="515"/>
    <col min="11528" max="11528" width="14.7109375" style="515" customWidth="1"/>
    <col min="11529" max="11529" width="0" style="515" hidden="1" customWidth="1"/>
    <col min="11530" max="11530" width="14.140625" style="515" customWidth="1"/>
    <col min="11531" max="11531" width="12.42578125" style="515" customWidth="1"/>
    <col min="11532" max="11532" width="15.140625" style="515" customWidth="1"/>
    <col min="11533" max="11533" width="9.85546875" style="515" bestFit="1" customWidth="1"/>
    <col min="11534" max="11775" width="9.140625" style="515"/>
    <col min="11776" max="11776" width="14.7109375" style="515" customWidth="1"/>
    <col min="11777" max="11777" width="12.42578125" style="515" customWidth="1"/>
    <col min="11778" max="11778" width="6.28515625" style="515" customWidth="1"/>
    <col min="11779" max="11779" width="12.28515625" style="515" customWidth="1"/>
    <col min="11780" max="11780" width="9.42578125" style="515" customWidth="1"/>
    <col min="11781" max="11781" width="11.7109375" style="515" customWidth="1"/>
    <col min="11782" max="11783" width="9.140625" style="515"/>
    <col min="11784" max="11784" width="14.7109375" style="515" customWidth="1"/>
    <col min="11785" max="11785" width="0" style="515" hidden="1" customWidth="1"/>
    <col min="11786" max="11786" width="14.140625" style="515" customWidth="1"/>
    <col min="11787" max="11787" width="12.42578125" style="515" customWidth="1"/>
    <col min="11788" max="11788" width="15.140625" style="515" customWidth="1"/>
    <col min="11789" max="11789" width="9.85546875" style="515" bestFit="1" customWidth="1"/>
    <col min="11790" max="12031" width="9.140625" style="515"/>
    <col min="12032" max="12032" width="14.7109375" style="515" customWidth="1"/>
    <col min="12033" max="12033" width="12.42578125" style="515" customWidth="1"/>
    <col min="12034" max="12034" width="6.28515625" style="515" customWidth="1"/>
    <col min="12035" max="12035" width="12.28515625" style="515" customWidth="1"/>
    <col min="12036" max="12036" width="9.42578125" style="515" customWidth="1"/>
    <col min="12037" max="12037" width="11.7109375" style="515" customWidth="1"/>
    <col min="12038" max="12039" width="9.140625" style="515"/>
    <col min="12040" max="12040" width="14.7109375" style="515" customWidth="1"/>
    <col min="12041" max="12041" width="0" style="515" hidden="1" customWidth="1"/>
    <col min="12042" max="12042" width="14.140625" style="515" customWidth="1"/>
    <col min="12043" max="12043" width="12.42578125" style="515" customWidth="1"/>
    <col min="12044" max="12044" width="15.140625" style="515" customWidth="1"/>
    <col min="12045" max="12045" width="9.85546875" style="515" bestFit="1" customWidth="1"/>
    <col min="12046" max="12287" width="9.140625" style="515"/>
    <col min="12288" max="12288" width="14.7109375" style="515" customWidth="1"/>
    <col min="12289" max="12289" width="12.42578125" style="515" customWidth="1"/>
    <col min="12290" max="12290" width="6.28515625" style="515" customWidth="1"/>
    <col min="12291" max="12291" width="12.28515625" style="515" customWidth="1"/>
    <col min="12292" max="12292" width="9.42578125" style="515" customWidth="1"/>
    <col min="12293" max="12293" width="11.7109375" style="515" customWidth="1"/>
    <col min="12294" max="12295" width="9.140625" style="515"/>
    <col min="12296" max="12296" width="14.7109375" style="515" customWidth="1"/>
    <col min="12297" max="12297" width="0" style="515" hidden="1" customWidth="1"/>
    <col min="12298" max="12298" width="14.140625" style="515" customWidth="1"/>
    <col min="12299" max="12299" width="12.42578125" style="515" customWidth="1"/>
    <col min="12300" max="12300" width="15.140625" style="515" customWidth="1"/>
    <col min="12301" max="12301" width="9.85546875" style="515" bestFit="1" customWidth="1"/>
    <col min="12302" max="12543" width="9.140625" style="515"/>
    <col min="12544" max="12544" width="14.7109375" style="515" customWidth="1"/>
    <col min="12545" max="12545" width="12.42578125" style="515" customWidth="1"/>
    <col min="12546" max="12546" width="6.28515625" style="515" customWidth="1"/>
    <col min="12547" max="12547" width="12.28515625" style="515" customWidth="1"/>
    <col min="12548" max="12548" width="9.42578125" style="515" customWidth="1"/>
    <col min="12549" max="12549" width="11.7109375" style="515" customWidth="1"/>
    <col min="12550" max="12551" width="9.140625" style="515"/>
    <col min="12552" max="12552" width="14.7109375" style="515" customWidth="1"/>
    <col min="12553" max="12553" width="0" style="515" hidden="1" customWidth="1"/>
    <col min="12554" max="12554" width="14.140625" style="515" customWidth="1"/>
    <col min="12555" max="12555" width="12.42578125" style="515" customWidth="1"/>
    <col min="12556" max="12556" width="15.140625" style="515" customWidth="1"/>
    <col min="12557" max="12557" width="9.85546875" style="515" bestFit="1" customWidth="1"/>
    <col min="12558" max="12799" width="9.140625" style="515"/>
    <col min="12800" max="12800" width="14.7109375" style="515" customWidth="1"/>
    <col min="12801" max="12801" width="12.42578125" style="515" customWidth="1"/>
    <col min="12802" max="12802" width="6.28515625" style="515" customWidth="1"/>
    <col min="12803" max="12803" width="12.28515625" style="515" customWidth="1"/>
    <col min="12804" max="12804" width="9.42578125" style="515" customWidth="1"/>
    <col min="12805" max="12805" width="11.7109375" style="515" customWidth="1"/>
    <col min="12806" max="12807" width="9.140625" style="515"/>
    <col min="12808" max="12808" width="14.7109375" style="515" customWidth="1"/>
    <col min="12809" max="12809" width="0" style="515" hidden="1" customWidth="1"/>
    <col min="12810" max="12810" width="14.140625" style="515" customWidth="1"/>
    <col min="12811" max="12811" width="12.42578125" style="515" customWidth="1"/>
    <col min="12812" max="12812" width="15.140625" style="515" customWidth="1"/>
    <col min="12813" max="12813" width="9.85546875" style="515" bestFit="1" customWidth="1"/>
    <col min="12814" max="13055" width="9.140625" style="515"/>
    <col min="13056" max="13056" width="14.7109375" style="515" customWidth="1"/>
    <col min="13057" max="13057" width="12.42578125" style="515" customWidth="1"/>
    <col min="13058" max="13058" width="6.28515625" style="515" customWidth="1"/>
    <col min="13059" max="13059" width="12.28515625" style="515" customWidth="1"/>
    <col min="13060" max="13060" width="9.42578125" style="515" customWidth="1"/>
    <col min="13061" max="13061" width="11.7109375" style="515" customWidth="1"/>
    <col min="13062" max="13063" width="9.140625" style="515"/>
    <col min="13064" max="13064" width="14.7109375" style="515" customWidth="1"/>
    <col min="13065" max="13065" width="0" style="515" hidden="1" customWidth="1"/>
    <col min="13066" max="13066" width="14.140625" style="515" customWidth="1"/>
    <col min="13067" max="13067" width="12.42578125" style="515" customWidth="1"/>
    <col min="13068" max="13068" width="15.140625" style="515" customWidth="1"/>
    <col min="13069" max="13069" width="9.85546875" style="515" bestFit="1" customWidth="1"/>
    <col min="13070" max="13311" width="9.140625" style="515"/>
    <col min="13312" max="13312" width="14.7109375" style="515" customWidth="1"/>
    <col min="13313" max="13313" width="12.42578125" style="515" customWidth="1"/>
    <col min="13314" max="13314" width="6.28515625" style="515" customWidth="1"/>
    <col min="13315" max="13315" width="12.28515625" style="515" customWidth="1"/>
    <col min="13316" max="13316" width="9.42578125" style="515" customWidth="1"/>
    <col min="13317" max="13317" width="11.7109375" style="515" customWidth="1"/>
    <col min="13318" max="13319" width="9.140625" style="515"/>
    <col min="13320" max="13320" width="14.7109375" style="515" customWidth="1"/>
    <col min="13321" max="13321" width="0" style="515" hidden="1" customWidth="1"/>
    <col min="13322" max="13322" width="14.140625" style="515" customWidth="1"/>
    <col min="13323" max="13323" width="12.42578125" style="515" customWidth="1"/>
    <col min="13324" max="13324" width="15.140625" style="515" customWidth="1"/>
    <col min="13325" max="13325" width="9.85546875" style="515" bestFit="1" customWidth="1"/>
    <col min="13326" max="13567" width="9.140625" style="515"/>
    <col min="13568" max="13568" width="14.7109375" style="515" customWidth="1"/>
    <col min="13569" max="13569" width="12.42578125" style="515" customWidth="1"/>
    <col min="13570" max="13570" width="6.28515625" style="515" customWidth="1"/>
    <col min="13571" max="13571" width="12.28515625" style="515" customWidth="1"/>
    <col min="13572" max="13572" width="9.42578125" style="515" customWidth="1"/>
    <col min="13573" max="13573" width="11.7109375" style="515" customWidth="1"/>
    <col min="13574" max="13575" width="9.140625" style="515"/>
    <col min="13576" max="13576" width="14.7109375" style="515" customWidth="1"/>
    <col min="13577" max="13577" width="0" style="515" hidden="1" customWidth="1"/>
    <col min="13578" max="13578" width="14.140625" style="515" customWidth="1"/>
    <col min="13579" max="13579" width="12.42578125" style="515" customWidth="1"/>
    <col min="13580" max="13580" width="15.140625" style="515" customWidth="1"/>
    <col min="13581" max="13581" width="9.85546875" style="515" bestFit="1" customWidth="1"/>
    <col min="13582" max="13823" width="9.140625" style="515"/>
    <col min="13824" max="13824" width="14.7109375" style="515" customWidth="1"/>
    <col min="13825" max="13825" width="12.42578125" style="515" customWidth="1"/>
    <col min="13826" max="13826" width="6.28515625" style="515" customWidth="1"/>
    <col min="13827" max="13827" width="12.28515625" style="515" customWidth="1"/>
    <col min="13828" max="13828" width="9.42578125" style="515" customWidth="1"/>
    <col min="13829" max="13829" width="11.7109375" style="515" customWidth="1"/>
    <col min="13830" max="13831" width="9.140625" style="515"/>
    <col min="13832" max="13832" width="14.7109375" style="515" customWidth="1"/>
    <col min="13833" max="13833" width="0" style="515" hidden="1" customWidth="1"/>
    <col min="13834" max="13834" width="14.140625" style="515" customWidth="1"/>
    <col min="13835" max="13835" width="12.42578125" style="515" customWidth="1"/>
    <col min="13836" max="13836" width="15.140625" style="515" customWidth="1"/>
    <col min="13837" max="13837" width="9.85546875" style="515" bestFit="1" customWidth="1"/>
    <col min="13838" max="14079" width="9.140625" style="515"/>
    <col min="14080" max="14080" width="14.7109375" style="515" customWidth="1"/>
    <col min="14081" max="14081" width="12.42578125" style="515" customWidth="1"/>
    <col min="14082" max="14082" width="6.28515625" style="515" customWidth="1"/>
    <col min="14083" max="14083" width="12.28515625" style="515" customWidth="1"/>
    <col min="14084" max="14084" width="9.42578125" style="515" customWidth="1"/>
    <col min="14085" max="14085" width="11.7109375" style="515" customWidth="1"/>
    <col min="14086" max="14087" width="9.140625" style="515"/>
    <col min="14088" max="14088" width="14.7109375" style="515" customWidth="1"/>
    <col min="14089" max="14089" width="0" style="515" hidden="1" customWidth="1"/>
    <col min="14090" max="14090" width="14.140625" style="515" customWidth="1"/>
    <col min="14091" max="14091" width="12.42578125" style="515" customWidth="1"/>
    <col min="14092" max="14092" width="15.140625" style="515" customWidth="1"/>
    <col min="14093" max="14093" width="9.85546875" style="515" bestFit="1" customWidth="1"/>
    <col min="14094" max="14335" width="9.140625" style="515"/>
    <col min="14336" max="14336" width="14.7109375" style="515" customWidth="1"/>
    <col min="14337" max="14337" width="12.42578125" style="515" customWidth="1"/>
    <col min="14338" max="14338" width="6.28515625" style="515" customWidth="1"/>
    <col min="14339" max="14339" width="12.28515625" style="515" customWidth="1"/>
    <col min="14340" max="14340" width="9.42578125" style="515" customWidth="1"/>
    <col min="14341" max="14341" width="11.7109375" style="515" customWidth="1"/>
    <col min="14342" max="14343" width="9.140625" style="515"/>
    <col min="14344" max="14344" width="14.7109375" style="515" customWidth="1"/>
    <col min="14345" max="14345" width="0" style="515" hidden="1" customWidth="1"/>
    <col min="14346" max="14346" width="14.140625" style="515" customWidth="1"/>
    <col min="14347" max="14347" width="12.42578125" style="515" customWidth="1"/>
    <col min="14348" max="14348" width="15.140625" style="515" customWidth="1"/>
    <col min="14349" max="14349" width="9.85546875" style="515" bestFit="1" customWidth="1"/>
    <col min="14350" max="14591" width="9.140625" style="515"/>
    <col min="14592" max="14592" width="14.7109375" style="515" customWidth="1"/>
    <col min="14593" max="14593" width="12.42578125" style="515" customWidth="1"/>
    <col min="14594" max="14594" width="6.28515625" style="515" customWidth="1"/>
    <col min="14595" max="14595" width="12.28515625" style="515" customWidth="1"/>
    <col min="14596" max="14596" width="9.42578125" style="515" customWidth="1"/>
    <col min="14597" max="14597" width="11.7109375" style="515" customWidth="1"/>
    <col min="14598" max="14599" width="9.140625" style="515"/>
    <col min="14600" max="14600" width="14.7109375" style="515" customWidth="1"/>
    <col min="14601" max="14601" width="0" style="515" hidden="1" customWidth="1"/>
    <col min="14602" max="14602" width="14.140625" style="515" customWidth="1"/>
    <col min="14603" max="14603" width="12.42578125" style="515" customWidth="1"/>
    <col min="14604" max="14604" width="15.140625" style="515" customWidth="1"/>
    <col min="14605" max="14605" width="9.85546875" style="515" bestFit="1" customWidth="1"/>
    <col min="14606" max="14847" width="9.140625" style="515"/>
    <col min="14848" max="14848" width="14.7109375" style="515" customWidth="1"/>
    <col min="14849" max="14849" width="12.42578125" style="515" customWidth="1"/>
    <col min="14850" max="14850" width="6.28515625" style="515" customWidth="1"/>
    <col min="14851" max="14851" width="12.28515625" style="515" customWidth="1"/>
    <col min="14852" max="14852" width="9.42578125" style="515" customWidth="1"/>
    <col min="14853" max="14853" width="11.7109375" style="515" customWidth="1"/>
    <col min="14854" max="14855" width="9.140625" style="515"/>
    <col min="14856" max="14856" width="14.7109375" style="515" customWidth="1"/>
    <col min="14857" max="14857" width="0" style="515" hidden="1" customWidth="1"/>
    <col min="14858" max="14858" width="14.140625" style="515" customWidth="1"/>
    <col min="14859" max="14859" width="12.42578125" style="515" customWidth="1"/>
    <col min="14860" max="14860" width="15.140625" style="515" customWidth="1"/>
    <col min="14861" max="14861" width="9.85546875" style="515" bestFit="1" customWidth="1"/>
    <col min="14862" max="15103" width="9.140625" style="515"/>
    <col min="15104" max="15104" width="14.7109375" style="515" customWidth="1"/>
    <col min="15105" max="15105" width="12.42578125" style="515" customWidth="1"/>
    <col min="15106" max="15106" width="6.28515625" style="515" customWidth="1"/>
    <col min="15107" max="15107" width="12.28515625" style="515" customWidth="1"/>
    <col min="15108" max="15108" width="9.42578125" style="515" customWidth="1"/>
    <col min="15109" max="15109" width="11.7109375" style="515" customWidth="1"/>
    <col min="15110" max="15111" width="9.140625" style="515"/>
    <col min="15112" max="15112" width="14.7109375" style="515" customWidth="1"/>
    <col min="15113" max="15113" width="0" style="515" hidden="1" customWidth="1"/>
    <col min="15114" max="15114" width="14.140625" style="515" customWidth="1"/>
    <col min="15115" max="15115" width="12.42578125" style="515" customWidth="1"/>
    <col min="15116" max="15116" width="15.140625" style="515" customWidth="1"/>
    <col min="15117" max="15117" width="9.85546875" style="515" bestFit="1" customWidth="1"/>
    <col min="15118" max="15359" width="9.140625" style="515"/>
    <col min="15360" max="15360" width="14.7109375" style="515" customWidth="1"/>
    <col min="15361" max="15361" width="12.42578125" style="515" customWidth="1"/>
    <col min="15362" max="15362" width="6.28515625" style="515" customWidth="1"/>
    <col min="15363" max="15363" width="12.28515625" style="515" customWidth="1"/>
    <col min="15364" max="15364" width="9.42578125" style="515" customWidth="1"/>
    <col min="15365" max="15365" width="11.7109375" style="515" customWidth="1"/>
    <col min="15366" max="15367" width="9.140625" style="515"/>
    <col min="15368" max="15368" width="14.7109375" style="515" customWidth="1"/>
    <col min="15369" max="15369" width="0" style="515" hidden="1" customWidth="1"/>
    <col min="15370" max="15370" width="14.140625" style="515" customWidth="1"/>
    <col min="15371" max="15371" width="12.42578125" style="515" customWidth="1"/>
    <col min="15372" max="15372" width="15.140625" style="515" customWidth="1"/>
    <col min="15373" max="15373" width="9.85546875" style="515" bestFit="1" customWidth="1"/>
    <col min="15374" max="15615" width="9.140625" style="515"/>
    <col min="15616" max="15616" width="14.7109375" style="515" customWidth="1"/>
    <col min="15617" max="15617" width="12.42578125" style="515" customWidth="1"/>
    <col min="15618" max="15618" width="6.28515625" style="515" customWidth="1"/>
    <col min="15619" max="15619" width="12.28515625" style="515" customWidth="1"/>
    <col min="15620" max="15620" width="9.42578125" style="515" customWidth="1"/>
    <col min="15621" max="15621" width="11.7109375" style="515" customWidth="1"/>
    <col min="15622" max="15623" width="9.140625" style="515"/>
    <col min="15624" max="15624" width="14.7109375" style="515" customWidth="1"/>
    <col min="15625" max="15625" width="0" style="515" hidden="1" customWidth="1"/>
    <col min="15626" max="15626" width="14.140625" style="515" customWidth="1"/>
    <col min="15627" max="15627" width="12.42578125" style="515" customWidth="1"/>
    <col min="15628" max="15628" width="15.140625" style="515" customWidth="1"/>
    <col min="15629" max="15629" width="9.85546875" style="515" bestFit="1" customWidth="1"/>
    <col min="15630" max="15871" width="9.140625" style="515"/>
    <col min="15872" max="15872" width="14.7109375" style="515" customWidth="1"/>
    <col min="15873" max="15873" width="12.42578125" style="515" customWidth="1"/>
    <col min="15874" max="15874" width="6.28515625" style="515" customWidth="1"/>
    <col min="15875" max="15875" width="12.28515625" style="515" customWidth="1"/>
    <col min="15876" max="15876" width="9.42578125" style="515" customWidth="1"/>
    <col min="15877" max="15877" width="11.7109375" style="515" customWidth="1"/>
    <col min="15878" max="15879" width="9.140625" style="515"/>
    <col min="15880" max="15880" width="14.7109375" style="515" customWidth="1"/>
    <col min="15881" max="15881" width="0" style="515" hidden="1" customWidth="1"/>
    <col min="15882" max="15882" width="14.140625" style="515" customWidth="1"/>
    <col min="15883" max="15883" width="12.42578125" style="515" customWidth="1"/>
    <col min="15884" max="15884" width="15.140625" style="515" customWidth="1"/>
    <col min="15885" max="15885" width="9.85546875" style="515" bestFit="1" customWidth="1"/>
    <col min="15886" max="16127" width="9.140625" style="515"/>
    <col min="16128" max="16128" width="14.7109375" style="515" customWidth="1"/>
    <col min="16129" max="16129" width="12.42578125" style="515" customWidth="1"/>
    <col min="16130" max="16130" width="6.28515625" style="515" customWidth="1"/>
    <col min="16131" max="16131" width="12.28515625" style="515" customWidth="1"/>
    <col min="16132" max="16132" width="9.42578125" style="515" customWidth="1"/>
    <col min="16133" max="16133" width="11.7109375" style="515" customWidth="1"/>
    <col min="16134" max="16135" width="9.140625" style="515"/>
    <col min="16136" max="16136" width="14.7109375" style="515" customWidth="1"/>
    <col min="16137" max="16137" width="0" style="515" hidden="1" customWidth="1"/>
    <col min="16138" max="16138" width="14.140625" style="515" customWidth="1"/>
    <col min="16139" max="16139" width="12.42578125" style="515" customWidth="1"/>
    <col min="16140" max="16140" width="15.140625" style="515" customWidth="1"/>
    <col min="16141" max="16141" width="9.85546875" style="515" bestFit="1" customWidth="1"/>
    <col min="16142" max="16384" width="9.140625" style="515"/>
  </cols>
  <sheetData>
    <row r="2" spans="1:14" x14ac:dyDescent="0.2">
      <c r="A2" s="516"/>
      <c r="B2" s="517"/>
      <c r="C2" s="517"/>
      <c r="D2" s="517"/>
      <c r="E2" s="517"/>
      <c r="F2" s="517"/>
      <c r="G2" s="518" t="s">
        <v>218</v>
      </c>
      <c r="H2" s="517"/>
      <c r="I2" s="517"/>
      <c r="J2" s="517"/>
      <c r="K2" s="517"/>
      <c r="L2" s="517"/>
      <c r="M2" s="517"/>
      <c r="N2" s="517"/>
    </row>
    <row r="3" spans="1:14" x14ac:dyDescent="0.2">
      <c r="A3" s="517"/>
      <c r="B3" s="517"/>
      <c r="C3" s="517"/>
      <c r="D3" s="517"/>
      <c r="E3" s="517"/>
      <c r="F3" s="517"/>
      <c r="G3" s="517"/>
      <c r="H3" s="517"/>
      <c r="I3" s="517"/>
      <c r="J3" s="517"/>
      <c r="K3" s="517"/>
      <c r="L3" s="517"/>
      <c r="M3" s="517"/>
      <c r="N3" s="517"/>
    </row>
    <row r="4" spans="1:14" x14ac:dyDescent="0.2">
      <c r="A4" s="517" t="s">
        <v>219</v>
      </c>
      <c r="B4" s="517"/>
      <c r="C4" s="517" t="s">
        <v>220</v>
      </c>
      <c r="D4" s="519"/>
      <c r="E4" s="517"/>
      <c r="F4" s="517"/>
      <c r="G4" s="517"/>
      <c r="H4" s="517"/>
      <c r="I4" s="517"/>
      <c r="K4" s="517"/>
      <c r="L4" s="517"/>
      <c r="M4" s="539"/>
      <c r="N4" s="539"/>
    </row>
    <row r="5" spans="1:14" x14ac:dyDescent="0.2">
      <c r="A5" s="517" t="s">
        <v>221</v>
      </c>
      <c r="B5" s="517"/>
      <c r="C5" s="520" t="s">
        <v>405</v>
      </c>
      <c r="D5" s="519"/>
      <c r="E5" s="520"/>
      <c r="F5" s="517"/>
      <c r="G5" s="517"/>
      <c r="H5" s="517" t="s">
        <v>222</v>
      </c>
      <c r="I5" s="517"/>
      <c r="K5" s="517"/>
      <c r="L5" s="517"/>
      <c r="M5" s="847" t="s">
        <v>431</v>
      </c>
      <c r="N5" s="848"/>
    </row>
    <row r="6" spans="1:14" x14ac:dyDescent="0.2">
      <c r="A6" s="517" t="s">
        <v>223</v>
      </c>
      <c r="B6" s="517"/>
      <c r="C6" s="520" t="s">
        <v>398</v>
      </c>
      <c r="D6" s="520"/>
      <c r="E6" s="520"/>
      <c r="F6" s="517"/>
      <c r="G6" s="517"/>
      <c r="H6" s="517" t="s">
        <v>224</v>
      </c>
      <c r="I6" s="517"/>
      <c r="K6" s="517"/>
      <c r="L6" s="517"/>
      <c r="M6" s="521">
        <v>3000000</v>
      </c>
      <c r="N6" s="520" t="s">
        <v>225</v>
      </c>
    </row>
    <row r="7" spans="1:14" x14ac:dyDescent="0.2">
      <c r="A7" s="517" t="s">
        <v>226</v>
      </c>
      <c r="B7" s="517"/>
      <c r="C7" s="522" t="s">
        <v>425</v>
      </c>
      <c r="D7" s="520"/>
      <c r="E7" s="520"/>
      <c r="F7" s="517"/>
      <c r="G7" s="517"/>
      <c r="H7" s="517" t="s">
        <v>227</v>
      </c>
      <c r="I7" s="517"/>
      <c r="K7" s="517"/>
      <c r="L7" s="517"/>
      <c r="M7" s="520">
        <v>1</v>
      </c>
      <c r="N7" s="520"/>
    </row>
    <row r="8" spans="1:14" x14ac:dyDescent="0.2">
      <c r="A8" s="517" t="s">
        <v>228</v>
      </c>
      <c r="B8" s="517"/>
      <c r="C8" s="519" t="s">
        <v>426</v>
      </c>
      <c r="D8" s="517"/>
      <c r="E8" s="517"/>
      <c r="F8" s="517"/>
      <c r="G8" s="517"/>
      <c r="H8" s="517"/>
      <c r="I8" s="517"/>
      <c r="J8" s="517"/>
      <c r="K8" s="517"/>
      <c r="L8" s="517"/>
      <c r="M8" s="517"/>
      <c r="N8" s="517"/>
    </row>
    <row r="9" spans="1:14" ht="13.5" thickBot="1" x14ac:dyDescent="0.25">
      <c r="A9" s="517"/>
      <c r="B9" s="517"/>
      <c r="C9" s="517"/>
      <c r="D9" s="523"/>
      <c r="E9" s="523"/>
      <c r="F9" s="517"/>
      <c r="G9" s="517"/>
      <c r="H9" s="517"/>
      <c r="I9" s="517"/>
      <c r="J9" s="517"/>
      <c r="K9" s="517"/>
      <c r="L9" s="517"/>
      <c r="M9" s="517"/>
      <c r="N9" s="517"/>
    </row>
    <row r="10" spans="1:14" x14ac:dyDescent="0.2">
      <c r="A10" s="1077" t="s">
        <v>229</v>
      </c>
      <c r="B10" s="1079" t="s">
        <v>230</v>
      </c>
      <c r="C10" s="1079" t="s">
        <v>231</v>
      </c>
      <c r="D10" s="1079" t="s">
        <v>232</v>
      </c>
      <c r="E10" s="1079" t="s">
        <v>233</v>
      </c>
      <c r="F10" s="1079" t="s">
        <v>234</v>
      </c>
      <c r="G10" s="1079" t="s">
        <v>235</v>
      </c>
      <c r="H10" s="1079" t="s">
        <v>236</v>
      </c>
      <c r="I10" s="674"/>
      <c r="J10" s="1079" t="s">
        <v>237</v>
      </c>
      <c r="K10" s="674"/>
      <c r="L10" s="1079" t="s">
        <v>256</v>
      </c>
      <c r="M10" s="1079" t="s">
        <v>238</v>
      </c>
      <c r="N10" s="1085"/>
    </row>
    <row r="11" spans="1:14" ht="38.25" customHeight="1" x14ac:dyDescent="0.2">
      <c r="A11" s="1078"/>
      <c r="B11" s="1080"/>
      <c r="C11" s="1080"/>
      <c r="D11" s="1080"/>
      <c r="E11" s="1080"/>
      <c r="F11" s="1080"/>
      <c r="G11" s="1080"/>
      <c r="H11" s="1080"/>
      <c r="I11" s="675"/>
      <c r="J11" s="1080"/>
      <c r="K11" s="675"/>
      <c r="L11" s="1080"/>
      <c r="M11" s="675" t="s">
        <v>239</v>
      </c>
      <c r="N11" s="676" t="s">
        <v>240</v>
      </c>
    </row>
    <row r="12" spans="1:14" ht="12.75" customHeight="1" x14ac:dyDescent="0.2">
      <c r="A12" s="1078"/>
      <c r="B12" s="1080"/>
      <c r="C12" s="1080"/>
      <c r="D12" s="1080"/>
      <c r="E12" s="1080"/>
      <c r="F12" s="1080"/>
      <c r="G12" s="1080"/>
      <c r="H12" s="1080"/>
      <c r="I12" s="675"/>
      <c r="J12" s="1080"/>
      <c r="K12" s="675"/>
      <c r="L12" s="1080"/>
      <c r="M12" s="675"/>
      <c r="N12" s="676"/>
    </row>
    <row r="13" spans="1:14" x14ac:dyDescent="0.2">
      <c r="A13" s="1078"/>
      <c r="B13" s="1080"/>
      <c r="C13" s="1080"/>
      <c r="D13" s="1080"/>
      <c r="E13" s="1080"/>
      <c r="F13" s="1080"/>
      <c r="G13" s="1080"/>
      <c r="H13" s="1080"/>
      <c r="I13" s="675"/>
      <c r="J13" s="1080"/>
      <c r="K13" s="675"/>
      <c r="L13" s="1080"/>
      <c r="M13" s="524"/>
      <c r="N13" s="849"/>
    </row>
    <row r="14" spans="1:14" x14ac:dyDescent="0.2">
      <c r="A14" s="677">
        <v>1</v>
      </c>
      <c r="B14" s="675">
        <v>2</v>
      </c>
      <c r="C14" s="675">
        <v>3</v>
      </c>
      <c r="D14" s="675">
        <v>4</v>
      </c>
      <c r="E14" s="675">
        <v>5</v>
      </c>
      <c r="F14" s="675">
        <v>6</v>
      </c>
      <c r="G14" s="675">
        <v>7</v>
      </c>
      <c r="H14" s="675">
        <v>8</v>
      </c>
      <c r="I14" s="675"/>
      <c r="J14" s="675">
        <v>9</v>
      </c>
      <c r="K14" s="675"/>
      <c r="L14" s="675">
        <v>10</v>
      </c>
      <c r="M14" s="675">
        <v>11</v>
      </c>
      <c r="N14" s="676">
        <v>12</v>
      </c>
    </row>
    <row r="15" spans="1:14" ht="21" customHeight="1" x14ac:dyDescent="0.2">
      <c r="A15" s="1122" t="s">
        <v>241</v>
      </c>
      <c r="B15" s="1123"/>
      <c r="C15" s="1123"/>
      <c r="D15" s="1123"/>
      <c r="E15" s="1123"/>
      <c r="F15" s="1123"/>
      <c r="G15" s="1123"/>
      <c r="H15" s="1123"/>
      <c r="I15" s="1123"/>
      <c r="J15" s="1123"/>
      <c r="K15" s="1123"/>
      <c r="L15" s="1123"/>
      <c r="M15" s="1123"/>
      <c r="N15" s="1124"/>
    </row>
    <row r="16" spans="1:14" x14ac:dyDescent="0.2">
      <c r="A16" s="525" t="s">
        <v>242</v>
      </c>
      <c r="B16" s="526">
        <v>0</v>
      </c>
      <c r="C16" s="526">
        <v>0</v>
      </c>
      <c r="D16" s="526">
        <f>'По проектам 2011-2012'!IX70</f>
        <v>45888.69</v>
      </c>
      <c r="E16" s="526">
        <v>0</v>
      </c>
      <c r="F16" s="527">
        <f>'По Настройке'!R29</f>
        <v>13858.38</v>
      </c>
      <c r="G16" s="526">
        <v>0</v>
      </c>
      <c r="H16" s="526">
        <v>0</v>
      </c>
      <c r="I16" s="528">
        <v>1.5508</v>
      </c>
      <c r="J16" s="526">
        <f t="shared" ref="J16:J22" si="0">D16*I16</f>
        <v>71164.179999999993</v>
      </c>
      <c r="K16" s="526"/>
      <c r="L16" s="526">
        <v>0</v>
      </c>
      <c r="M16" s="526">
        <f>SUM(B16:H16)+J16+L16</f>
        <v>130911.25</v>
      </c>
      <c r="N16" s="850"/>
    </row>
    <row r="17" spans="1:18" x14ac:dyDescent="0.2">
      <c r="A17" s="525" t="s">
        <v>250</v>
      </c>
      <c r="B17" s="526">
        <v>0</v>
      </c>
      <c r="C17" s="526">
        <v>0</v>
      </c>
      <c r="D17" s="526">
        <f>'По проектам 2011-2012'!JT70</f>
        <v>91121.62</v>
      </c>
      <c r="E17" s="526">
        <v>0</v>
      </c>
      <c r="F17" s="527">
        <f>'По Настройке'!W29</f>
        <v>27518.73</v>
      </c>
      <c r="G17" s="526">
        <v>0</v>
      </c>
      <c r="H17" s="526">
        <v>0</v>
      </c>
      <c r="I17" s="528">
        <v>1.0604</v>
      </c>
      <c r="J17" s="526">
        <f t="shared" si="0"/>
        <v>96625.37</v>
      </c>
      <c r="K17" s="526"/>
      <c r="L17" s="526">
        <v>0</v>
      </c>
      <c r="M17" s="526">
        <f>SUM(B17:H17)+J17+L17</f>
        <v>215265.72</v>
      </c>
      <c r="N17" s="850"/>
    </row>
    <row r="18" spans="1:18" x14ac:dyDescent="0.2">
      <c r="A18" s="525" t="s">
        <v>251</v>
      </c>
      <c r="B18" s="526">
        <v>0</v>
      </c>
      <c r="C18" s="526">
        <v>0</v>
      </c>
      <c r="D18" s="526">
        <f>'По проектам 2011-2012'!KP70</f>
        <v>114862.49</v>
      </c>
      <c r="E18" s="526">
        <v>0</v>
      </c>
      <c r="F18" s="527">
        <f>'По Настройке'!AB29</f>
        <v>34688.480000000003</v>
      </c>
      <c r="G18" s="526">
        <v>0</v>
      </c>
      <c r="H18" s="526">
        <v>0</v>
      </c>
      <c r="I18" s="528">
        <v>1.0589999999999999</v>
      </c>
      <c r="J18" s="526">
        <f t="shared" si="0"/>
        <v>121639.38</v>
      </c>
      <c r="K18" s="526"/>
      <c r="L18" s="526">
        <v>0</v>
      </c>
      <c r="M18" s="526">
        <f>SUM(B18:H18)+J18+L18</f>
        <v>271190.34999999998</v>
      </c>
      <c r="N18" s="850"/>
    </row>
    <row r="19" spans="1:18" x14ac:dyDescent="0.2">
      <c r="A19" s="525" t="s">
        <v>252</v>
      </c>
      <c r="B19" s="526">
        <v>0</v>
      </c>
      <c r="C19" s="526">
        <v>0</v>
      </c>
      <c r="D19" s="526">
        <f>'По проектам 2011-2012'!LJ70</f>
        <v>136295.35</v>
      </c>
      <c r="E19" s="526">
        <v>0</v>
      </c>
      <c r="F19" s="527">
        <f>'По Настройке'!AG29</f>
        <v>41161.199999999997</v>
      </c>
      <c r="G19" s="526">
        <v>0</v>
      </c>
      <c r="H19" s="526">
        <v>0</v>
      </c>
      <c r="I19" s="528">
        <v>1.4551000000000001</v>
      </c>
      <c r="J19" s="526">
        <f t="shared" si="0"/>
        <v>198323.36</v>
      </c>
      <c r="K19" s="526"/>
      <c r="L19" s="526">
        <v>0</v>
      </c>
      <c r="M19" s="526">
        <f>B19+D19+F19+J19</f>
        <v>375779.91</v>
      </c>
      <c r="N19" s="850"/>
    </row>
    <row r="20" spans="1:18" x14ac:dyDescent="0.2">
      <c r="A20" s="525" t="s">
        <v>257</v>
      </c>
      <c r="B20" s="526">
        <v>0</v>
      </c>
      <c r="C20" s="526">
        <v>0</v>
      </c>
      <c r="D20" s="526">
        <f>'По проектам 2011-2012'!MB70</f>
        <v>112218.25</v>
      </c>
      <c r="E20" s="526">
        <v>0</v>
      </c>
      <c r="F20" s="527">
        <f>'По Настройке'!AL29</f>
        <v>32899.919999999998</v>
      </c>
      <c r="G20" s="526">
        <v>0</v>
      </c>
      <c r="H20" s="526">
        <v>0</v>
      </c>
      <c r="I20" s="529">
        <v>1.1297999999999999</v>
      </c>
      <c r="J20" s="671">
        <f t="shared" si="0"/>
        <v>126784.18</v>
      </c>
      <c r="K20" s="526"/>
      <c r="L20" s="526">
        <v>0</v>
      </c>
      <c r="M20" s="526">
        <f>B20+D20+F20+J20</f>
        <v>271902.34999999998</v>
      </c>
      <c r="N20" s="850"/>
      <c r="Q20" s="530"/>
      <c r="R20" s="531"/>
    </row>
    <row r="21" spans="1:18" x14ac:dyDescent="0.2">
      <c r="A21" s="525" t="s">
        <v>258</v>
      </c>
      <c r="B21" s="526">
        <v>0</v>
      </c>
      <c r="C21" s="526">
        <v>0</v>
      </c>
      <c r="D21" s="526">
        <f>'По проектам 2011-2012'!MT70</f>
        <v>114498.95</v>
      </c>
      <c r="E21" s="526">
        <v>0</v>
      </c>
      <c r="F21" s="527">
        <f>'По Настройке'!AQ29</f>
        <v>34578.68</v>
      </c>
      <c r="G21" s="526">
        <v>0</v>
      </c>
      <c r="H21" s="526">
        <v>0</v>
      </c>
      <c r="I21" s="528">
        <v>1.1061000000000001</v>
      </c>
      <c r="J21" s="671">
        <f t="shared" si="0"/>
        <v>126647.29</v>
      </c>
      <c r="K21" s="526"/>
      <c r="L21" s="526">
        <v>0</v>
      </c>
      <c r="M21" s="526">
        <f>B21+D21+F21+J21</f>
        <v>275724.92</v>
      </c>
      <c r="N21" s="850"/>
    </row>
    <row r="22" spans="1:18" x14ac:dyDescent="0.2">
      <c r="A22" s="525" t="s">
        <v>297</v>
      </c>
      <c r="B22" s="526">
        <v>0</v>
      </c>
      <c r="C22" s="526">
        <v>0</v>
      </c>
      <c r="D22" s="526">
        <f>'По проектам 2011-2012'!NL70</f>
        <v>94106.38</v>
      </c>
      <c r="E22" s="526">
        <v>0</v>
      </c>
      <c r="F22" s="527">
        <f>'По Настройке'!AV29</f>
        <v>25274</v>
      </c>
      <c r="G22" s="526">
        <v>0</v>
      </c>
      <c r="H22" s="526">
        <v>0</v>
      </c>
      <c r="I22" s="529">
        <v>1.2774000000000001</v>
      </c>
      <c r="J22" s="671">
        <f t="shared" si="0"/>
        <v>120211.49</v>
      </c>
      <c r="K22" s="526"/>
      <c r="L22" s="526">
        <v>0</v>
      </c>
      <c r="M22" s="526">
        <f>B22+D22+F22+J22</f>
        <v>239591.87</v>
      </c>
      <c r="N22" s="850"/>
      <c r="Q22" s="530"/>
      <c r="R22" s="531"/>
    </row>
    <row r="23" spans="1:18" x14ac:dyDescent="0.2">
      <c r="A23" s="525" t="s">
        <v>513</v>
      </c>
      <c r="B23" s="526">
        <v>0</v>
      </c>
      <c r="C23" s="526">
        <v>0</v>
      </c>
      <c r="D23" s="526">
        <f>'По проектам 2011-2012'!NZ70</f>
        <v>103500</v>
      </c>
      <c r="E23" s="526">
        <v>0</v>
      </c>
      <c r="F23" s="527">
        <f>'По Настройке'!BA29</f>
        <v>23557</v>
      </c>
      <c r="G23" s="526">
        <v>0</v>
      </c>
      <c r="H23" s="526">
        <v>0</v>
      </c>
      <c r="I23" s="852">
        <v>0.83</v>
      </c>
      <c r="J23" s="879">
        <f t="shared" ref="J23:J24" si="1">D23*I23</f>
        <v>85905</v>
      </c>
      <c r="K23" s="526"/>
      <c r="L23" s="526">
        <v>0</v>
      </c>
      <c r="M23" s="526">
        <f>B23+D23+F23+J23</f>
        <v>212962</v>
      </c>
      <c r="N23" s="850"/>
      <c r="Q23" s="530"/>
      <c r="R23" s="531"/>
    </row>
    <row r="24" spans="1:18" x14ac:dyDescent="0.2">
      <c r="A24" s="525" t="s">
        <v>512</v>
      </c>
      <c r="B24" s="526">
        <v>0</v>
      </c>
      <c r="C24" s="526">
        <v>0</v>
      </c>
      <c r="D24" s="526">
        <f>'По проектам 2011-2012'!ON70</f>
        <v>102692.4</v>
      </c>
      <c r="E24" s="526">
        <v>0</v>
      </c>
      <c r="F24" s="527">
        <f>'По Настройке'!BF29</f>
        <v>23313.1</v>
      </c>
      <c r="G24" s="526">
        <v>0</v>
      </c>
      <c r="H24" s="526">
        <v>0</v>
      </c>
      <c r="I24" s="852">
        <v>0.83</v>
      </c>
      <c r="J24" s="879">
        <f t="shared" si="1"/>
        <v>85234.69</v>
      </c>
      <c r="K24" s="526"/>
      <c r="L24" s="526">
        <v>0</v>
      </c>
      <c r="M24" s="526">
        <f>B24+D24+F24+J24+L24</f>
        <v>211240.19</v>
      </c>
      <c r="N24" s="850"/>
    </row>
    <row r="25" spans="1:18" x14ac:dyDescent="0.2">
      <c r="A25" s="525" t="s">
        <v>249</v>
      </c>
      <c r="B25" s="526">
        <v>0</v>
      </c>
      <c r="C25" s="526">
        <v>0</v>
      </c>
      <c r="D25" s="671">
        <f>'По проектам 2011-2012'!PB70</f>
        <v>99565.87</v>
      </c>
      <c r="E25" s="526">
        <v>0</v>
      </c>
      <c r="F25" s="527">
        <f>'По Настройке'!BK29</f>
        <v>23313.5</v>
      </c>
      <c r="G25" s="526">
        <v>0</v>
      </c>
      <c r="H25" s="526">
        <v>0</v>
      </c>
      <c r="I25" s="852">
        <f>J25/D25</f>
        <v>0.94</v>
      </c>
      <c r="J25" s="879">
        <f>83690.06+9900</f>
        <v>93590.06</v>
      </c>
      <c r="K25" s="526"/>
      <c r="L25" s="526">
        <v>0</v>
      </c>
      <c r="M25" s="526">
        <f>B25+D25+F25+J25</f>
        <v>216469.43</v>
      </c>
      <c r="N25" s="850"/>
      <c r="Q25" s="530"/>
      <c r="R25" s="531"/>
    </row>
    <row r="26" spans="1:18" ht="13.5" thickBot="1" x14ac:dyDescent="0.25">
      <c r="A26" s="846" t="s">
        <v>430</v>
      </c>
      <c r="B26" s="533">
        <f>SUM(B16:B25)</f>
        <v>0</v>
      </c>
      <c r="C26" s="533">
        <f t="shared" ref="C26:M26" si="2">SUM(C16:C25)</f>
        <v>0</v>
      </c>
      <c r="D26" s="533">
        <f t="shared" si="2"/>
        <v>1014750</v>
      </c>
      <c r="E26" s="533">
        <f t="shared" si="2"/>
        <v>0</v>
      </c>
      <c r="F26" s="533">
        <f t="shared" si="2"/>
        <v>280162.99</v>
      </c>
      <c r="G26" s="533">
        <f t="shared" si="2"/>
        <v>0</v>
      </c>
      <c r="H26" s="533">
        <f t="shared" si="2"/>
        <v>0</v>
      </c>
      <c r="I26" s="533"/>
      <c r="J26" s="533">
        <f t="shared" si="2"/>
        <v>1126125</v>
      </c>
      <c r="K26" s="533">
        <f t="shared" si="2"/>
        <v>0</v>
      </c>
      <c r="L26" s="533">
        <f t="shared" si="2"/>
        <v>0</v>
      </c>
      <c r="M26" s="533">
        <f t="shared" si="2"/>
        <v>2421037.9900000002</v>
      </c>
      <c r="N26" s="851"/>
      <c r="P26" s="530"/>
      <c r="Q26" s="530"/>
      <c r="R26" s="531"/>
    </row>
    <row r="27" spans="1:18" ht="16.5" customHeight="1" x14ac:dyDescent="0.2">
      <c r="A27" s="1125" t="s">
        <v>428</v>
      </c>
      <c r="B27" s="1126"/>
      <c r="C27" s="1126"/>
      <c r="D27" s="1126"/>
      <c r="E27" s="1126"/>
      <c r="F27" s="1126"/>
      <c r="G27" s="1126"/>
      <c r="H27" s="1126"/>
      <c r="I27" s="1126"/>
      <c r="J27" s="1126"/>
      <c r="K27" s="1126"/>
      <c r="L27" s="1126"/>
      <c r="M27" s="1126"/>
      <c r="N27" s="1127"/>
    </row>
    <row r="28" spans="1:18" x14ac:dyDescent="0.2">
      <c r="A28" s="525" t="s">
        <v>429</v>
      </c>
      <c r="B28" s="526">
        <v>0</v>
      </c>
      <c r="C28" s="526">
        <v>0</v>
      </c>
      <c r="D28" s="526">
        <f>'По проектам 2011-2012'!PP70</f>
        <v>49500</v>
      </c>
      <c r="E28" s="526">
        <v>0</v>
      </c>
      <c r="F28" s="527">
        <f>'По Настройке'!BP29</f>
        <v>14949</v>
      </c>
      <c r="G28" s="526">
        <v>0</v>
      </c>
      <c r="H28" s="526">
        <v>0</v>
      </c>
      <c r="I28" s="852">
        <v>0.9</v>
      </c>
      <c r="J28" s="879">
        <f>D28*I28</f>
        <v>44550</v>
      </c>
      <c r="K28" s="526"/>
      <c r="L28" s="526">
        <v>0</v>
      </c>
      <c r="M28" s="526">
        <f>SUM(B28:H28)+J28+L28</f>
        <v>108999</v>
      </c>
      <c r="N28" s="850"/>
    </row>
    <row r="29" spans="1:18" ht="13.5" thickBot="1" x14ac:dyDescent="0.25">
      <c r="A29" s="532" t="s">
        <v>243</v>
      </c>
      <c r="B29" s="533">
        <f>SUM(B16:B25)</f>
        <v>0</v>
      </c>
      <c r="C29" s="533">
        <f>C26+C28</f>
        <v>0</v>
      </c>
      <c r="D29" s="533">
        <f t="shared" ref="D29:L29" si="3">D26+D28</f>
        <v>1064250</v>
      </c>
      <c r="E29" s="533">
        <f t="shared" si="3"/>
        <v>0</v>
      </c>
      <c r="F29" s="533">
        <f t="shared" si="3"/>
        <v>295111.99</v>
      </c>
      <c r="G29" s="533">
        <f t="shared" si="3"/>
        <v>0</v>
      </c>
      <c r="H29" s="533">
        <f t="shared" si="3"/>
        <v>0</v>
      </c>
      <c r="I29" s="533"/>
      <c r="J29" s="533">
        <f t="shared" si="3"/>
        <v>1170675</v>
      </c>
      <c r="K29" s="533">
        <f t="shared" si="3"/>
        <v>0</v>
      </c>
      <c r="L29" s="533">
        <f t="shared" si="3"/>
        <v>0</v>
      </c>
      <c r="M29" s="533">
        <f>M26+M28</f>
        <v>2530036.9900000002</v>
      </c>
      <c r="N29" s="851">
        <v>3000000</v>
      </c>
      <c r="P29" s="530"/>
      <c r="Q29" s="530"/>
      <c r="R29" s="531"/>
    </row>
    <row r="30" spans="1:18" x14ac:dyDescent="0.2">
      <c r="A30" s="517"/>
      <c r="B30" s="517"/>
      <c r="C30" s="517"/>
      <c r="D30" s="535"/>
      <c r="E30" s="517"/>
      <c r="F30" s="535"/>
      <c r="G30" s="517"/>
      <c r="H30" s="517"/>
      <c r="I30" s="517"/>
      <c r="J30" s="535"/>
      <c r="K30" s="517"/>
      <c r="L30" s="1084" t="s">
        <v>244</v>
      </c>
      <c r="M30" s="1084"/>
      <c r="N30" s="534">
        <f>N29-M29</f>
        <v>469963.01</v>
      </c>
    </row>
    <row r="31" spans="1:18" x14ac:dyDescent="0.2">
      <c r="A31" s="543" t="s">
        <v>240</v>
      </c>
      <c r="B31" s="517"/>
      <c r="C31" s="517"/>
      <c r="D31" s="535">
        <f>'СЦ этапы'!E14</f>
        <v>1064250</v>
      </c>
      <c r="E31" s="543"/>
      <c r="F31" s="535">
        <f>'СЦ этапы'!E15</f>
        <v>285219</v>
      </c>
      <c r="G31" s="517"/>
      <c r="H31" s="517"/>
      <c r="I31" s="517"/>
      <c r="J31" s="535">
        <f>'СЦ этапы'!E17</f>
        <v>1170675</v>
      </c>
      <c r="K31" s="517"/>
      <c r="L31" s="536"/>
      <c r="N31" s="542">
        <f>'СЦ этапы'!E22</f>
        <v>479856</v>
      </c>
    </row>
    <row r="32" spans="1:18" x14ac:dyDescent="0.2">
      <c r="A32" s="517"/>
      <c r="B32" s="517"/>
      <c r="C32" s="517"/>
      <c r="D32" s="876">
        <f>D31-D29</f>
        <v>0</v>
      </c>
      <c r="E32" s="876"/>
      <c r="F32" s="876">
        <f>F31-F29</f>
        <v>-9892.99</v>
      </c>
      <c r="G32" s="876"/>
      <c r="H32" s="876"/>
      <c r="I32" s="876"/>
      <c r="J32" s="876">
        <f>J31-J29</f>
        <v>0</v>
      </c>
      <c r="K32" s="876"/>
      <c r="L32" s="877"/>
      <c r="M32" s="877"/>
      <c r="N32" s="542">
        <f>N31-N30</f>
        <v>9892.99</v>
      </c>
    </row>
    <row r="33" spans="1:14" x14ac:dyDescent="0.2">
      <c r="A33" s="539"/>
      <c r="B33" s="517"/>
      <c r="C33" s="517"/>
      <c r="D33" s="517"/>
      <c r="E33" s="517"/>
      <c r="F33" s="517"/>
      <c r="G33" s="517"/>
      <c r="H33" s="517"/>
      <c r="I33" s="517"/>
      <c r="J33" s="535"/>
      <c r="K33" s="517"/>
      <c r="L33" s="536"/>
      <c r="M33" s="538"/>
    </row>
    <row r="34" spans="1:14" x14ac:dyDescent="0.2">
      <c r="B34" s="517"/>
      <c r="C34" s="517"/>
      <c r="D34" s="876">
        <f>D29/21.5</f>
        <v>49500</v>
      </c>
      <c r="E34" s="517"/>
      <c r="F34" s="517"/>
      <c r="G34" s="517"/>
      <c r="H34" s="517"/>
      <c r="I34" s="517"/>
      <c r="J34" s="517"/>
      <c r="K34" s="517"/>
      <c r="L34" s="536"/>
      <c r="M34" s="538"/>
      <c r="N34" s="537"/>
    </row>
    <row r="35" spans="1:14" x14ac:dyDescent="0.2">
      <c r="A35" s="539"/>
      <c r="B35" s="517"/>
      <c r="C35" s="517"/>
      <c r="D35" s="517"/>
      <c r="E35" s="517"/>
      <c r="F35" s="517"/>
      <c r="G35" s="517"/>
      <c r="H35" s="517"/>
      <c r="I35" s="517"/>
      <c r="J35" s="535"/>
      <c r="K35" s="517"/>
      <c r="L35" s="536"/>
      <c r="M35" s="536"/>
      <c r="N35" s="537"/>
    </row>
    <row r="36" spans="1:14" x14ac:dyDescent="0.2">
      <c r="A36" s="517"/>
      <c r="B36" s="517"/>
      <c r="C36" s="517"/>
      <c r="D36" s="517"/>
      <c r="E36" s="517"/>
      <c r="F36" s="517"/>
      <c r="G36" s="517"/>
      <c r="H36" s="517"/>
      <c r="I36" s="517"/>
      <c r="J36" s="517"/>
      <c r="K36" s="517"/>
      <c r="L36" s="517"/>
      <c r="M36" s="517"/>
      <c r="N36" s="517"/>
    </row>
    <row r="37" spans="1:14" x14ac:dyDescent="0.2">
      <c r="A37" s="517"/>
      <c r="B37" s="517"/>
      <c r="C37" s="517"/>
      <c r="D37" s="517"/>
      <c r="E37" s="517"/>
      <c r="F37" s="517"/>
      <c r="G37" s="517"/>
      <c r="H37" s="517"/>
      <c r="I37" s="517"/>
      <c r="J37" s="517"/>
      <c r="K37" s="517"/>
      <c r="L37" s="517"/>
      <c r="M37" s="517"/>
      <c r="N37" s="517"/>
    </row>
    <row r="38" spans="1:14" x14ac:dyDescent="0.2">
      <c r="A38" s="517"/>
      <c r="B38" s="517"/>
      <c r="C38" s="517"/>
      <c r="D38" s="517"/>
      <c r="E38" s="517"/>
      <c r="F38" s="517"/>
      <c r="G38" s="517"/>
      <c r="H38" s="517"/>
      <c r="I38" s="517"/>
      <c r="J38" s="517"/>
      <c r="K38" s="517"/>
      <c r="L38" s="517"/>
      <c r="M38" s="540"/>
      <c r="N38" s="541"/>
    </row>
  </sheetData>
  <mergeCells count="14">
    <mergeCell ref="A15:N15"/>
    <mergeCell ref="L30:M30"/>
    <mergeCell ref="L10:L13"/>
    <mergeCell ref="M10:N10"/>
    <mergeCell ref="A27:N27"/>
    <mergeCell ref="A10:A13"/>
    <mergeCell ref="B10:B13"/>
    <mergeCell ref="C10:C13"/>
    <mergeCell ref="D10:D13"/>
    <mergeCell ref="E10:E13"/>
    <mergeCell ref="F10:F13"/>
    <mergeCell ref="G10:G13"/>
    <mergeCell ref="H10:H13"/>
    <mergeCell ref="J10:J13"/>
  </mergeCells>
  <pageMargins left="0.70866141732283472" right="0.70866141732283472" top="0.31496062992125984" bottom="0.74803149606299213" header="0.31496062992125984" footer="0.31496062992125984"/>
  <pageSetup paperSize="9" scale="90" orientation="landscape" r:id="rId1"/>
  <ignoredErrors>
    <ignoredError sqref="M24" formula="1"/>
  </ignoredError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R34"/>
  <sheetViews>
    <sheetView zoomScale="60" zoomScaleNormal="60" workbookViewId="0">
      <pane xSplit="3" ySplit="4" topLeftCell="AU5" activePane="bottomRight" state="frozen"/>
      <selection pane="topRight" activeCell="D1" sqref="D1"/>
      <selection pane="bottomLeft" activeCell="A5" sqref="A5"/>
      <selection pane="bottomRight" activeCell="C40" sqref="C40"/>
    </sheetView>
  </sheetViews>
  <sheetFormatPr defaultColWidth="8.140625" defaultRowHeight="12.75" x14ac:dyDescent="0.2"/>
  <cols>
    <col min="1" max="1" width="3.42578125" style="748" bestFit="1" customWidth="1"/>
    <col min="2" max="2" width="3" style="748" bestFit="1" customWidth="1"/>
    <col min="3" max="3" width="42.7109375" style="748" bestFit="1" customWidth="1"/>
    <col min="4" max="4" width="11.7109375" style="7" hidden="1" customWidth="1"/>
    <col min="5" max="5" width="5.85546875" style="8" hidden="1" customWidth="1"/>
    <col min="6" max="7" width="4.85546875" style="8" hidden="1" customWidth="1"/>
    <col min="8" max="8" width="6.140625" style="11" hidden="1" customWidth="1"/>
    <col min="9" max="9" width="8.7109375" style="8" hidden="1" customWidth="1"/>
    <col min="10" max="10" width="9.7109375" style="8" hidden="1" customWidth="1"/>
    <col min="11" max="11" width="12.5703125" style="11" hidden="1" customWidth="1"/>
    <col min="12" max="13" width="12.5703125" style="11" customWidth="1"/>
    <col min="14" max="14" width="11.7109375" style="7" bestFit="1" customWidth="1"/>
    <col min="15" max="15" width="5.85546875" style="8" bestFit="1" customWidth="1"/>
    <col min="16" max="16" width="5.140625" style="8" customWidth="1"/>
    <col min="17" max="17" width="12.5703125" style="8" customWidth="1"/>
    <col min="18" max="18" width="10" style="8" customWidth="1"/>
    <col min="19" max="19" width="11.7109375" style="7" bestFit="1" customWidth="1"/>
    <col min="20" max="20" width="5.85546875" style="8" bestFit="1" customWidth="1"/>
    <col min="21" max="21" width="6" style="8" customWidth="1"/>
    <col min="22" max="22" width="12.5703125" style="8" customWidth="1"/>
    <col min="23" max="23" width="10.85546875" style="8" customWidth="1"/>
    <col min="24" max="24" width="11.7109375" style="7" bestFit="1" customWidth="1"/>
    <col min="25" max="25" width="5.85546875" style="8" bestFit="1" customWidth="1"/>
    <col min="26" max="26" width="6" style="8" customWidth="1"/>
    <col min="27" max="28" width="12.5703125" style="8" customWidth="1"/>
    <col min="29" max="29" width="11.7109375" style="7" bestFit="1" customWidth="1"/>
    <col min="30" max="30" width="5.85546875" style="8" bestFit="1" customWidth="1"/>
    <col min="31" max="31" width="6" style="8" customWidth="1"/>
    <col min="32" max="33" width="12.5703125" style="8" customWidth="1"/>
    <col min="34" max="34" width="11.7109375" style="7" bestFit="1" customWidth="1"/>
    <col min="35" max="35" width="5.85546875" style="8" bestFit="1" customWidth="1"/>
    <col min="36" max="36" width="6" style="8" customWidth="1"/>
    <col min="37" max="38" width="12.5703125" style="8" customWidth="1"/>
    <col min="39" max="39" width="11.7109375" style="7" bestFit="1" customWidth="1"/>
    <col min="40" max="40" width="5.85546875" style="8" bestFit="1" customWidth="1"/>
    <col min="41" max="41" width="6" style="8" customWidth="1"/>
    <col min="42" max="43" width="12.5703125" style="8" customWidth="1"/>
    <col min="44" max="44" width="12.42578125" style="7" bestFit="1" customWidth="1"/>
    <col min="45" max="45" width="6.5703125" style="8" bestFit="1" customWidth="1"/>
    <col min="46" max="46" width="6" style="8" customWidth="1"/>
    <col min="47" max="48" width="12.5703125" style="8" customWidth="1"/>
    <col min="49" max="49" width="13.5703125" style="7" customWidth="1"/>
    <col min="50" max="50" width="6.5703125" style="8" bestFit="1" customWidth="1"/>
    <col min="51" max="51" width="6" style="8" customWidth="1"/>
    <col min="52" max="53" width="12.5703125" style="8" customWidth="1"/>
    <col min="54" max="54" width="13" style="7" customWidth="1"/>
    <col min="55" max="55" width="6.5703125" style="8" bestFit="1" customWidth="1"/>
    <col min="56" max="56" width="6" style="8" customWidth="1"/>
    <col min="57" max="58" width="12.5703125" style="8" customWidth="1"/>
    <col min="59" max="59" width="13" style="7" bestFit="1" customWidth="1"/>
    <col min="60" max="60" width="7.28515625" style="8" customWidth="1"/>
    <col min="61" max="61" width="6" style="8" customWidth="1"/>
    <col min="62" max="63" width="12.5703125" style="8" customWidth="1"/>
    <col min="64" max="64" width="13" style="7" bestFit="1" customWidth="1"/>
    <col min="65" max="65" width="7.28515625" style="8" customWidth="1"/>
    <col min="66" max="66" width="6" style="8" customWidth="1"/>
    <col min="67" max="67" width="12.5703125" style="8" customWidth="1"/>
    <col min="68" max="68" width="11.28515625" style="748" bestFit="1" customWidth="1"/>
    <col min="69" max="69" width="9.85546875" style="748" bestFit="1" customWidth="1"/>
    <col min="70" max="70" width="10.42578125" style="748" bestFit="1" customWidth="1"/>
    <col min="71" max="16384" width="8.140625" style="748"/>
  </cols>
  <sheetData>
    <row r="1" spans="1:69" ht="4.1500000000000004" customHeight="1" x14ac:dyDescent="0.2"/>
    <row r="2" spans="1:69" s="17" customFormat="1" ht="20.25" customHeight="1" thickBot="1" x14ac:dyDescent="0.25">
      <c r="B2" s="19"/>
      <c r="C2" s="20"/>
      <c r="D2" s="21"/>
      <c r="E2" s="21"/>
      <c r="F2" s="21"/>
      <c r="G2" s="21"/>
      <c r="H2" s="22"/>
      <c r="I2" s="21"/>
      <c r="J2" s="21"/>
      <c r="K2" s="22"/>
      <c r="L2" s="22"/>
      <c r="M2" s="22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  <c r="BL2" s="21"/>
      <c r="BM2" s="21"/>
      <c r="BN2" s="21"/>
      <c r="BO2" s="21"/>
    </row>
    <row r="3" spans="1:69" s="8" customFormat="1" ht="12" customHeight="1" x14ac:dyDescent="0.2">
      <c r="B3" s="1134"/>
      <c r="C3" s="1136" t="s">
        <v>0</v>
      </c>
      <c r="D3" s="1128" t="s">
        <v>80</v>
      </c>
      <c r="E3" s="1129"/>
      <c r="F3" s="1132" t="s">
        <v>55</v>
      </c>
      <c r="G3" s="1140" t="s">
        <v>59</v>
      </c>
      <c r="H3" s="1142" t="s">
        <v>63</v>
      </c>
      <c r="I3" s="1132" t="s">
        <v>55</v>
      </c>
      <c r="J3" s="1140" t="s">
        <v>59</v>
      </c>
      <c r="K3" s="1142" t="s">
        <v>63</v>
      </c>
      <c r="L3" s="682"/>
      <c r="M3" s="682"/>
      <c r="N3" s="1128" t="s">
        <v>3</v>
      </c>
      <c r="O3" s="1129"/>
      <c r="P3" s="1138" t="s">
        <v>106</v>
      </c>
      <c r="Q3" s="1138" t="s">
        <v>106</v>
      </c>
      <c r="R3" s="1002"/>
      <c r="S3" s="1128" t="s">
        <v>21</v>
      </c>
      <c r="T3" s="1129"/>
      <c r="U3" s="1138" t="s">
        <v>106</v>
      </c>
      <c r="V3" s="1138" t="s">
        <v>106</v>
      </c>
      <c r="W3" s="1002"/>
      <c r="X3" s="1128" t="s">
        <v>22</v>
      </c>
      <c r="Y3" s="1129"/>
      <c r="Z3" s="1138" t="s">
        <v>106</v>
      </c>
      <c r="AA3" s="1138" t="s">
        <v>106</v>
      </c>
      <c r="AB3" s="1002"/>
      <c r="AC3" s="1128" t="s">
        <v>23</v>
      </c>
      <c r="AD3" s="1129"/>
      <c r="AE3" s="1138" t="s">
        <v>106</v>
      </c>
      <c r="AF3" s="1138" t="s">
        <v>106</v>
      </c>
      <c r="AG3" s="1002"/>
      <c r="AH3" s="1128" t="s">
        <v>24</v>
      </c>
      <c r="AI3" s="1129"/>
      <c r="AJ3" s="1138" t="s">
        <v>106</v>
      </c>
      <c r="AK3" s="1138" t="s">
        <v>106</v>
      </c>
      <c r="AL3" s="1002"/>
      <c r="AM3" s="1128" t="s">
        <v>25</v>
      </c>
      <c r="AN3" s="1129"/>
      <c r="AO3" s="1138" t="s">
        <v>106</v>
      </c>
      <c r="AP3" s="1138" t="s">
        <v>106</v>
      </c>
      <c r="AQ3" s="1002"/>
      <c r="AR3" s="1144" t="s">
        <v>26</v>
      </c>
      <c r="AS3" s="1145"/>
      <c r="AT3" s="1138" t="s">
        <v>106</v>
      </c>
      <c r="AU3" s="1138" t="s">
        <v>106</v>
      </c>
      <c r="AV3" s="1002"/>
      <c r="AW3" s="1144" t="s">
        <v>46</v>
      </c>
      <c r="AX3" s="1145"/>
      <c r="AY3" s="1138" t="s">
        <v>106</v>
      </c>
      <c r="AZ3" s="1138" t="s">
        <v>106</v>
      </c>
      <c r="BA3" s="1002"/>
      <c r="BB3" s="1148" t="s">
        <v>254</v>
      </c>
      <c r="BC3" s="1149"/>
      <c r="BD3" s="1138" t="s">
        <v>106</v>
      </c>
      <c r="BE3" s="1138" t="s">
        <v>106</v>
      </c>
      <c r="BF3" s="1002"/>
      <c r="BG3" s="1148" t="s">
        <v>255</v>
      </c>
      <c r="BH3" s="1149"/>
      <c r="BI3" s="1138" t="s">
        <v>106</v>
      </c>
      <c r="BJ3" s="1138" t="s">
        <v>106</v>
      </c>
      <c r="BK3" s="1002"/>
      <c r="BL3" s="1148" t="s">
        <v>432</v>
      </c>
      <c r="BM3" s="1149"/>
      <c r="BN3" s="1138" t="s">
        <v>106</v>
      </c>
      <c r="BO3" s="1138" t="s">
        <v>106</v>
      </c>
    </row>
    <row r="4" spans="1:69" s="8" customFormat="1" ht="67.5" customHeight="1" thickBot="1" x14ac:dyDescent="0.25">
      <c r="B4" s="1135"/>
      <c r="C4" s="1137"/>
      <c r="D4" s="1130"/>
      <c r="E4" s="1131"/>
      <c r="F4" s="1133"/>
      <c r="G4" s="1141"/>
      <c r="H4" s="1143"/>
      <c r="I4" s="1133"/>
      <c r="J4" s="1141"/>
      <c r="K4" s="1143"/>
      <c r="L4" s="1012" t="s">
        <v>458</v>
      </c>
      <c r="M4" s="1012" t="s">
        <v>459</v>
      </c>
      <c r="N4" s="1130"/>
      <c r="O4" s="1131"/>
      <c r="P4" s="1139"/>
      <c r="Q4" s="1139"/>
      <c r="R4" s="1005">
        <v>0.30199999999999999</v>
      </c>
      <c r="S4" s="1130"/>
      <c r="T4" s="1131"/>
      <c r="U4" s="1139"/>
      <c r="V4" s="1139"/>
      <c r="W4" s="1005">
        <v>0.30199999999999999</v>
      </c>
      <c r="X4" s="1130"/>
      <c r="Y4" s="1131"/>
      <c r="Z4" s="1139"/>
      <c r="AA4" s="1139"/>
      <c r="AB4" s="1005">
        <v>0.30199999999999999</v>
      </c>
      <c r="AC4" s="1130"/>
      <c r="AD4" s="1131"/>
      <c r="AE4" s="1139"/>
      <c r="AF4" s="1139"/>
      <c r="AG4" s="1005">
        <v>0.30199999999999999</v>
      </c>
      <c r="AH4" s="1130"/>
      <c r="AI4" s="1131"/>
      <c r="AJ4" s="1139"/>
      <c r="AK4" s="1139"/>
      <c r="AL4" s="1005">
        <v>0.30199999999999999</v>
      </c>
      <c r="AM4" s="1130"/>
      <c r="AN4" s="1131"/>
      <c r="AO4" s="1139"/>
      <c r="AP4" s="1139"/>
      <c r="AQ4" s="1005">
        <v>0.30199999999999999</v>
      </c>
      <c r="AR4" s="1146"/>
      <c r="AS4" s="1147"/>
      <c r="AT4" s="1139"/>
      <c r="AU4" s="1139"/>
      <c r="AV4" s="1005">
        <v>0.30199999999999999</v>
      </c>
      <c r="AW4" s="1146"/>
      <c r="AX4" s="1147"/>
      <c r="AY4" s="1139"/>
      <c r="AZ4" s="1139"/>
      <c r="BA4" s="1005">
        <v>0.30199999999999999</v>
      </c>
      <c r="BB4" s="1150"/>
      <c r="BC4" s="1151"/>
      <c r="BD4" s="1139"/>
      <c r="BE4" s="1139"/>
      <c r="BF4" s="1005">
        <v>0.30199999999999999</v>
      </c>
      <c r="BG4" s="1150"/>
      <c r="BH4" s="1151"/>
      <c r="BI4" s="1139"/>
      <c r="BJ4" s="1139"/>
      <c r="BK4" s="1005">
        <v>0.30199999999999999</v>
      </c>
      <c r="BL4" s="1150"/>
      <c r="BM4" s="1151"/>
      <c r="BN4" s="1139"/>
      <c r="BO4" s="1139"/>
      <c r="BP4" s="1005">
        <v>0.30199999999999999</v>
      </c>
    </row>
    <row r="5" spans="1:69" ht="36" x14ac:dyDescent="0.2">
      <c r="A5" s="748">
        <v>1</v>
      </c>
      <c r="B5" s="24">
        <v>1</v>
      </c>
      <c r="C5" s="25" t="s">
        <v>4</v>
      </c>
      <c r="D5" s="69">
        <v>25000</v>
      </c>
      <c r="E5" s="67">
        <v>1</v>
      </c>
      <c r="F5" s="33"/>
      <c r="G5" s="36"/>
      <c r="H5" s="61">
        <f>E5-F5-G5</f>
        <v>1</v>
      </c>
      <c r="I5" s="63">
        <f>IF($E5&lt;&gt;0,F5*$D5/$E5,0)</f>
        <v>0</v>
      </c>
      <c r="J5" s="64">
        <f>IF($E5&lt;&gt;0,G5*$D5/$E5,0)</f>
        <v>0</v>
      </c>
      <c r="K5" s="410">
        <f>D5-I5-J5</f>
        <v>25000</v>
      </c>
      <c r="L5" s="1011" t="s">
        <v>503</v>
      </c>
      <c r="M5" s="1011" t="s">
        <v>498</v>
      </c>
      <c r="N5" s="129">
        <f>1428.57+24272.08</f>
        <v>25700.65</v>
      </c>
      <c r="O5" s="67">
        <v>1</v>
      </c>
      <c r="P5" s="36"/>
      <c r="Q5" s="64">
        <f t="shared" ref="Q5:Q9" si="0">IF($O5&lt;&gt;0,P5*$N5/$O5,0)</f>
        <v>0</v>
      </c>
      <c r="R5" s="1003">
        <f>Q5*30.2%</f>
        <v>0</v>
      </c>
      <c r="S5" s="129">
        <v>30000</v>
      </c>
      <c r="T5" s="67">
        <v>1</v>
      </c>
      <c r="U5" s="36"/>
      <c r="V5" s="64">
        <f t="shared" ref="V5:V9" si="1">IF($T5&lt;&gt;0,U5*$S5/$T5,0)</f>
        <v>0</v>
      </c>
      <c r="W5" s="1003">
        <f>V5*30.2%</f>
        <v>0</v>
      </c>
      <c r="X5" s="129">
        <v>30000</v>
      </c>
      <c r="Y5" s="67">
        <v>1</v>
      </c>
      <c r="Z5" s="36">
        <v>0.7</v>
      </c>
      <c r="AA5" s="64">
        <f t="shared" ref="AA5:AA9" si="2">IF($Y5&lt;&gt;0,Z5*$X5/$Y5,0)</f>
        <v>21000</v>
      </c>
      <c r="AB5" s="1003">
        <f>AA5*30.2%</f>
        <v>6342</v>
      </c>
      <c r="AC5" s="129">
        <v>30000</v>
      </c>
      <c r="AD5" s="67">
        <v>1</v>
      </c>
      <c r="AE5" s="36"/>
      <c r="AF5" s="64">
        <f t="shared" ref="AF5:AF8" si="3">IF($AD5&lt;&gt;0,AE5*$AC5/$AD5,0)</f>
        <v>0</v>
      </c>
      <c r="AG5" s="1003">
        <f>AF5*30.2%</f>
        <v>0</v>
      </c>
      <c r="AH5" s="129">
        <v>30000</v>
      </c>
      <c r="AI5" s="67">
        <v>1</v>
      </c>
      <c r="AJ5" s="36"/>
      <c r="AK5" s="64">
        <f t="shared" ref="AK5:AK8" si="4">IF($AI5&lt;&gt;0,AJ5*$AH5/$AI5,0)</f>
        <v>0</v>
      </c>
      <c r="AL5" s="1003">
        <f>AK5*30.2%</f>
        <v>0</v>
      </c>
      <c r="AM5" s="129">
        <v>30000</v>
      </c>
      <c r="AN5" s="67">
        <v>1</v>
      </c>
      <c r="AO5" s="36"/>
      <c r="AP5" s="64">
        <f t="shared" ref="AP5:AP9" si="5">IF($AN5&lt;&gt;0,AO5*$AM5/$AN5,0)</f>
        <v>0</v>
      </c>
      <c r="AQ5" s="1003">
        <f>AP5*30.2%</f>
        <v>0</v>
      </c>
      <c r="AR5" s="617">
        <v>30000</v>
      </c>
      <c r="AS5" s="618">
        <v>1</v>
      </c>
      <c r="AT5" s="36"/>
      <c r="AU5" s="64">
        <f t="shared" ref="AU5:AU9" si="6">IF($AS5&lt;&gt;0,AT5*$AR5/$AS5,0)</f>
        <v>0</v>
      </c>
      <c r="AV5" s="1003">
        <f>AU5*30.2%</f>
        <v>0</v>
      </c>
      <c r="AW5" s="617">
        <v>30000</v>
      </c>
      <c r="AX5" s="618">
        <v>1</v>
      </c>
      <c r="AY5" s="36"/>
      <c r="AZ5" s="64">
        <f t="shared" ref="AZ5:AZ9" si="7">IF($AX5&lt;&gt;0,AY5*$AW5/$AX5,0)</f>
        <v>0</v>
      </c>
      <c r="BA5" s="1003">
        <f>AZ5*30.2%</f>
        <v>0</v>
      </c>
      <c r="BB5" s="131">
        <v>30000</v>
      </c>
      <c r="BC5" s="132">
        <v>1</v>
      </c>
      <c r="BD5" s="36"/>
      <c r="BE5" s="64">
        <f t="shared" ref="BE5:BE9" si="8">IF($BC5&lt;&gt;0,BD5*$BB5/$BC5,0)</f>
        <v>0</v>
      </c>
      <c r="BF5" s="1003">
        <f>BE5*30.2%</f>
        <v>0</v>
      </c>
      <c r="BG5" s="131">
        <v>30000</v>
      </c>
      <c r="BH5" s="132">
        <v>1</v>
      </c>
      <c r="BI5" s="36"/>
      <c r="BJ5" s="64">
        <f t="shared" ref="BJ5:BJ9" si="9">IF($BH5&lt;&gt;0,BI5*$BG5/$BH5,0)</f>
        <v>0</v>
      </c>
      <c r="BK5" s="1003">
        <f>BJ5*30.2%</f>
        <v>0</v>
      </c>
      <c r="BL5" s="131">
        <v>30000</v>
      </c>
      <c r="BM5" s="132">
        <v>1</v>
      </c>
      <c r="BN5" s="36"/>
      <c r="BO5" s="64">
        <f t="shared" ref="BO5:BO9" si="10">IF($BM5&lt;&gt;0,BN5*$BL5/$BM5,0)</f>
        <v>0</v>
      </c>
      <c r="BP5" s="1006">
        <f>BO5*30.2%</f>
        <v>0</v>
      </c>
      <c r="BQ5" s="885">
        <f t="shared" ref="BQ5:BQ13" si="11">BN5+BI5+BD5+AY5+AT5+AO5+AJ5+AE5+Z5+U5+P5</f>
        <v>0.7</v>
      </c>
    </row>
    <row r="6" spans="1:69" ht="48" x14ac:dyDescent="0.2">
      <c r="A6" s="748">
        <v>2</v>
      </c>
      <c r="B6" s="24">
        <v>2</v>
      </c>
      <c r="C6" s="25" t="s">
        <v>27</v>
      </c>
      <c r="D6" s="69">
        <v>20000</v>
      </c>
      <c r="E6" s="68">
        <v>0.5</v>
      </c>
      <c r="F6" s="12"/>
      <c r="G6" s="15"/>
      <c r="H6" s="61">
        <f t="shared" ref="H6:H28" si="12">E6-F6-G6</f>
        <v>0.5</v>
      </c>
      <c r="I6" s="66">
        <f t="shared" ref="I6:J28" si="13">IF($E6&lt;&gt;0,F6*$D6/$E6,0)</f>
        <v>0</v>
      </c>
      <c r="J6" s="16">
        <f t="shared" si="13"/>
        <v>0</v>
      </c>
      <c r="K6" s="410">
        <f t="shared" ref="K6:K28" si="14">D6-I6-J6</f>
        <v>20000</v>
      </c>
      <c r="L6" s="1011" t="s">
        <v>505</v>
      </c>
      <c r="M6" s="1011" t="s">
        <v>500</v>
      </c>
      <c r="N6" s="129">
        <f>19935.44+1428.57</f>
        <v>21364.01</v>
      </c>
      <c r="O6" s="68">
        <v>0.5</v>
      </c>
      <c r="P6" s="15">
        <v>0.5</v>
      </c>
      <c r="Q6" s="16">
        <f t="shared" si="0"/>
        <v>21364.01</v>
      </c>
      <c r="R6" s="1003">
        <f t="shared" ref="R6:R17" si="15">Q6*30.2%</f>
        <v>6451.93</v>
      </c>
      <c r="S6" s="129">
        <v>30000</v>
      </c>
      <c r="T6" s="68">
        <v>0.5</v>
      </c>
      <c r="U6" s="15">
        <v>0.5</v>
      </c>
      <c r="V6" s="16">
        <f t="shared" si="1"/>
        <v>30000</v>
      </c>
      <c r="W6" s="1003">
        <f t="shared" ref="W6:W17" si="16">V6*30.2%</f>
        <v>9060</v>
      </c>
      <c r="X6" s="129">
        <v>30000</v>
      </c>
      <c r="Y6" s="68">
        <v>0.5</v>
      </c>
      <c r="Z6" s="15">
        <v>0.5</v>
      </c>
      <c r="AA6" s="16">
        <f t="shared" si="2"/>
        <v>30000</v>
      </c>
      <c r="AB6" s="1003">
        <f t="shared" ref="AB6:AB17" si="17">AA6*30.2%</f>
        <v>9060</v>
      </c>
      <c r="AC6" s="129">
        <v>30000</v>
      </c>
      <c r="AD6" s="68">
        <v>0.5</v>
      </c>
      <c r="AE6" s="15">
        <v>0.5</v>
      </c>
      <c r="AF6" s="16">
        <f t="shared" si="3"/>
        <v>30000</v>
      </c>
      <c r="AG6" s="1003">
        <f t="shared" ref="AG6:AG17" si="18">AF6*30.2%</f>
        <v>9060</v>
      </c>
      <c r="AH6" s="129">
        <v>30000</v>
      </c>
      <c r="AI6" s="68">
        <v>0.5</v>
      </c>
      <c r="AJ6" s="15">
        <v>0.5</v>
      </c>
      <c r="AK6" s="16">
        <f t="shared" si="4"/>
        <v>30000</v>
      </c>
      <c r="AL6" s="1003">
        <f t="shared" ref="AL6:AL17" si="19">AK6*30.2%</f>
        <v>9060</v>
      </c>
      <c r="AM6" s="129">
        <v>30000</v>
      </c>
      <c r="AN6" s="68">
        <v>0.5</v>
      </c>
      <c r="AO6" s="15">
        <v>0.5</v>
      </c>
      <c r="AP6" s="16">
        <f t="shared" si="5"/>
        <v>30000</v>
      </c>
      <c r="AQ6" s="1003">
        <f t="shared" ref="AQ6:AQ17" si="20">AP6*30.2%</f>
        <v>9060</v>
      </c>
      <c r="AR6" s="617">
        <v>30000</v>
      </c>
      <c r="AS6" s="619">
        <v>0.5</v>
      </c>
      <c r="AT6" s="15">
        <v>0.5</v>
      </c>
      <c r="AU6" s="16">
        <f t="shared" si="6"/>
        <v>30000</v>
      </c>
      <c r="AV6" s="1003">
        <f t="shared" ref="AV6:AV17" si="21">AU6*30.2%</f>
        <v>9060</v>
      </c>
      <c r="AW6" s="617">
        <v>35000</v>
      </c>
      <c r="AX6" s="619">
        <v>0.5</v>
      </c>
      <c r="AY6" s="15">
        <v>0.5</v>
      </c>
      <c r="AZ6" s="16">
        <f t="shared" si="7"/>
        <v>35000</v>
      </c>
      <c r="BA6" s="1003">
        <f t="shared" ref="BA6:BA17" si="22">AZ6*30.2%</f>
        <v>10570</v>
      </c>
      <c r="BB6" s="131">
        <v>35000</v>
      </c>
      <c r="BC6" s="133">
        <v>0.5</v>
      </c>
      <c r="BD6" s="15">
        <v>0.5</v>
      </c>
      <c r="BE6" s="16">
        <f t="shared" si="8"/>
        <v>35000</v>
      </c>
      <c r="BF6" s="1003">
        <f t="shared" ref="BF6:BF17" si="23">BE6*30.2%</f>
        <v>10570</v>
      </c>
      <c r="BG6" s="131">
        <v>35000</v>
      </c>
      <c r="BH6" s="133">
        <v>0.5</v>
      </c>
      <c r="BI6" s="15">
        <v>0.5</v>
      </c>
      <c r="BJ6" s="16">
        <f t="shared" si="9"/>
        <v>35000</v>
      </c>
      <c r="BK6" s="1003">
        <f t="shared" ref="BK6:BK17" si="24">BJ6*30.2%</f>
        <v>10570</v>
      </c>
      <c r="BL6" s="131">
        <v>35000</v>
      </c>
      <c r="BM6" s="133">
        <v>0.5</v>
      </c>
      <c r="BN6" s="15"/>
      <c r="BO6" s="16">
        <f t="shared" si="10"/>
        <v>0</v>
      </c>
      <c r="BP6" s="1006">
        <f t="shared" ref="BP6:BP17" si="25">BO6*30.2%</f>
        <v>0</v>
      </c>
      <c r="BQ6" s="885">
        <f t="shared" si="11"/>
        <v>5</v>
      </c>
    </row>
    <row r="7" spans="1:69" ht="36" x14ac:dyDescent="0.2">
      <c r="A7" s="886">
        <v>3</v>
      </c>
      <c r="B7" s="24">
        <v>4</v>
      </c>
      <c r="C7" s="25" t="s">
        <v>107</v>
      </c>
      <c r="D7" s="69"/>
      <c r="E7" s="68"/>
      <c r="F7" s="12"/>
      <c r="G7" s="15"/>
      <c r="H7" s="61"/>
      <c r="I7" s="66"/>
      <c r="J7" s="16"/>
      <c r="K7" s="410"/>
      <c r="L7" s="1011" t="s">
        <v>504</v>
      </c>
      <c r="M7" s="1011" t="s">
        <v>499</v>
      </c>
      <c r="N7" s="129">
        <v>27142.86</v>
      </c>
      <c r="O7" s="68">
        <f>27/31</f>
        <v>0.87</v>
      </c>
      <c r="P7" s="15"/>
      <c r="Q7" s="16">
        <f t="shared" ref="Q7:Q8" si="26">IF($O7&lt;&gt;0,P7*$N7/$O7,0)</f>
        <v>0</v>
      </c>
      <c r="R7" s="1003">
        <f t="shared" si="15"/>
        <v>0</v>
      </c>
      <c r="S7" s="129">
        <v>30000</v>
      </c>
      <c r="T7" s="68">
        <v>1</v>
      </c>
      <c r="U7" s="15"/>
      <c r="V7" s="16">
        <f t="shared" si="1"/>
        <v>0</v>
      </c>
      <c r="W7" s="1003">
        <f t="shared" si="16"/>
        <v>0</v>
      </c>
      <c r="X7" s="129">
        <v>30000</v>
      </c>
      <c r="Y7" s="68">
        <v>1</v>
      </c>
      <c r="Z7" s="15"/>
      <c r="AA7" s="16">
        <f t="shared" si="2"/>
        <v>0</v>
      </c>
      <c r="AB7" s="1003">
        <f t="shared" si="17"/>
        <v>0</v>
      </c>
      <c r="AC7" s="129">
        <v>30000</v>
      </c>
      <c r="AD7" s="68">
        <v>1</v>
      </c>
      <c r="AE7" s="15"/>
      <c r="AF7" s="16">
        <f t="shared" si="3"/>
        <v>0</v>
      </c>
      <c r="AG7" s="1003">
        <f t="shared" si="18"/>
        <v>0</v>
      </c>
      <c r="AH7" s="129">
        <v>30000</v>
      </c>
      <c r="AI7" s="68">
        <v>1</v>
      </c>
      <c r="AJ7" s="15">
        <v>0.25</v>
      </c>
      <c r="AK7" s="16">
        <f t="shared" si="4"/>
        <v>7500</v>
      </c>
      <c r="AL7" s="1003">
        <f t="shared" si="19"/>
        <v>2265</v>
      </c>
      <c r="AM7" s="129">
        <v>30000</v>
      </c>
      <c r="AN7" s="68">
        <v>1</v>
      </c>
      <c r="AO7" s="15"/>
      <c r="AP7" s="16">
        <f t="shared" si="5"/>
        <v>0</v>
      </c>
      <c r="AQ7" s="1003">
        <f t="shared" si="20"/>
        <v>0</v>
      </c>
      <c r="AR7" s="617">
        <v>30000</v>
      </c>
      <c r="AS7" s="619">
        <v>1</v>
      </c>
      <c r="AT7" s="15">
        <v>0.45</v>
      </c>
      <c r="AU7" s="16">
        <f t="shared" si="6"/>
        <v>13500</v>
      </c>
      <c r="AV7" s="1003">
        <f t="shared" si="21"/>
        <v>4077</v>
      </c>
      <c r="AW7" s="617">
        <v>30000</v>
      </c>
      <c r="AX7" s="619">
        <v>1</v>
      </c>
      <c r="AY7" s="15">
        <v>1</v>
      </c>
      <c r="AZ7" s="16">
        <f t="shared" si="7"/>
        <v>30000</v>
      </c>
      <c r="BA7" s="1003">
        <f t="shared" si="22"/>
        <v>9060</v>
      </c>
      <c r="BB7" s="131">
        <v>29192.400000000001</v>
      </c>
      <c r="BC7" s="133">
        <v>1</v>
      </c>
      <c r="BD7" s="15">
        <v>1</v>
      </c>
      <c r="BE7" s="16">
        <f t="shared" si="8"/>
        <v>29192.400000000001</v>
      </c>
      <c r="BF7" s="1003">
        <f t="shared" si="23"/>
        <v>8816.1</v>
      </c>
      <c r="BG7" s="131">
        <v>30788.91</v>
      </c>
      <c r="BH7" s="133">
        <v>1</v>
      </c>
      <c r="BI7" s="15">
        <v>1</v>
      </c>
      <c r="BJ7" s="16">
        <f t="shared" si="9"/>
        <v>30788.91</v>
      </c>
      <c r="BK7" s="1003">
        <f t="shared" si="24"/>
        <v>9298.25</v>
      </c>
      <c r="BL7" s="131">
        <v>30000</v>
      </c>
      <c r="BM7" s="133">
        <v>1</v>
      </c>
      <c r="BN7" s="15">
        <v>0.3</v>
      </c>
      <c r="BO7" s="16">
        <f t="shared" si="10"/>
        <v>9000</v>
      </c>
      <c r="BP7" s="1006">
        <f t="shared" si="25"/>
        <v>2718</v>
      </c>
      <c r="BQ7" s="885">
        <f t="shared" si="11"/>
        <v>4</v>
      </c>
    </row>
    <row r="8" spans="1:69" ht="48" x14ac:dyDescent="0.2">
      <c r="A8" s="748">
        <v>4</v>
      </c>
      <c r="B8" s="24">
        <v>7</v>
      </c>
      <c r="C8" s="25" t="s">
        <v>74</v>
      </c>
      <c r="D8" s="26">
        <v>44000</v>
      </c>
      <c r="E8" s="68">
        <v>1</v>
      </c>
      <c r="F8" s="12"/>
      <c r="G8" s="15"/>
      <c r="H8" s="61">
        <f t="shared" si="12"/>
        <v>1</v>
      </c>
      <c r="I8" s="66">
        <f t="shared" si="13"/>
        <v>0</v>
      </c>
      <c r="J8" s="16">
        <f t="shared" si="13"/>
        <v>0</v>
      </c>
      <c r="K8" s="410">
        <f t="shared" si="14"/>
        <v>44000</v>
      </c>
      <c r="L8" s="1011" t="s">
        <v>505</v>
      </c>
      <c r="M8" s="1011" t="s">
        <v>500</v>
      </c>
      <c r="N8" s="27">
        <v>66000</v>
      </c>
      <c r="O8" s="68">
        <v>1</v>
      </c>
      <c r="P8" s="15"/>
      <c r="Q8" s="16">
        <f t="shared" si="26"/>
        <v>0</v>
      </c>
      <c r="R8" s="1003">
        <f t="shared" si="15"/>
        <v>0</v>
      </c>
      <c r="S8" s="26">
        <v>66000</v>
      </c>
      <c r="T8" s="68">
        <v>1</v>
      </c>
      <c r="U8" s="15"/>
      <c r="V8" s="16">
        <f t="shared" si="1"/>
        <v>0</v>
      </c>
      <c r="W8" s="1003">
        <f t="shared" si="16"/>
        <v>0</v>
      </c>
      <c r="X8" s="26">
        <f>56571.43+7243.96</f>
        <v>63815.39</v>
      </c>
      <c r="Y8" s="68">
        <v>1</v>
      </c>
      <c r="Z8" s="15">
        <v>0.1</v>
      </c>
      <c r="AA8" s="16">
        <f t="shared" si="2"/>
        <v>6381.54</v>
      </c>
      <c r="AB8" s="1003">
        <f t="shared" si="17"/>
        <v>1927.23</v>
      </c>
      <c r="AC8" s="26">
        <v>66000</v>
      </c>
      <c r="AD8" s="68">
        <v>1</v>
      </c>
      <c r="AE8" s="15">
        <v>0.1</v>
      </c>
      <c r="AF8" s="16">
        <f t="shared" si="3"/>
        <v>6600</v>
      </c>
      <c r="AG8" s="1003">
        <f t="shared" si="18"/>
        <v>1993.2</v>
      </c>
      <c r="AH8" s="26">
        <v>61427.85</v>
      </c>
      <c r="AI8" s="68">
        <v>1</v>
      </c>
      <c r="AJ8" s="15">
        <v>0.1</v>
      </c>
      <c r="AK8" s="16">
        <f t="shared" si="4"/>
        <v>6142.79</v>
      </c>
      <c r="AL8" s="1003">
        <f t="shared" si="19"/>
        <v>1855.12</v>
      </c>
      <c r="AM8" s="26">
        <v>66000</v>
      </c>
      <c r="AN8" s="68">
        <v>1</v>
      </c>
      <c r="AO8" s="15">
        <v>0.1</v>
      </c>
      <c r="AP8" s="16">
        <f t="shared" si="5"/>
        <v>6600</v>
      </c>
      <c r="AQ8" s="1003">
        <f t="shared" si="20"/>
        <v>1993.2</v>
      </c>
      <c r="AR8" s="621">
        <v>66000</v>
      </c>
      <c r="AS8" s="619">
        <v>1</v>
      </c>
      <c r="AT8" s="15">
        <v>0.2</v>
      </c>
      <c r="AU8" s="16">
        <f t="shared" si="6"/>
        <v>13200</v>
      </c>
      <c r="AV8" s="1009">
        <f>AU8*9151.35/AR8</f>
        <v>1830.27</v>
      </c>
      <c r="AW8" s="621">
        <v>77000</v>
      </c>
      <c r="AX8" s="619">
        <v>1</v>
      </c>
      <c r="AY8" s="15">
        <v>0.5</v>
      </c>
      <c r="AZ8" s="16">
        <f t="shared" si="7"/>
        <v>38500</v>
      </c>
      <c r="BA8" s="1008">
        <f>AZ8*10.2%</f>
        <v>3927</v>
      </c>
      <c r="BB8" s="135">
        <v>77000</v>
      </c>
      <c r="BC8" s="133">
        <v>1</v>
      </c>
      <c r="BD8" s="15">
        <v>0.5</v>
      </c>
      <c r="BE8" s="16">
        <f t="shared" si="8"/>
        <v>38500</v>
      </c>
      <c r="BF8" s="1008">
        <f>BE8*10.2%</f>
        <v>3927</v>
      </c>
      <c r="BG8" s="135">
        <v>77000</v>
      </c>
      <c r="BH8" s="133">
        <v>1</v>
      </c>
      <c r="BI8" s="15">
        <v>0.5</v>
      </c>
      <c r="BJ8" s="878">
        <f>IF($BH8&lt;&gt;0,BI8*$BG8/$BH8,0)-4723.04</f>
        <v>33776.959999999999</v>
      </c>
      <c r="BK8" s="1008">
        <f>BJ8*10.2%</f>
        <v>3445.25</v>
      </c>
      <c r="BL8" s="135">
        <v>77000</v>
      </c>
      <c r="BM8" s="133">
        <v>1</v>
      </c>
      <c r="BN8" s="15">
        <v>0.4</v>
      </c>
      <c r="BO8" s="878">
        <f>IF($BM8&lt;&gt;0,BN8*$BL8/$BM8,0)-200</f>
        <v>30600</v>
      </c>
      <c r="BP8" s="1006">
        <f>BO8*30.2%</f>
        <v>9241.2000000000007</v>
      </c>
      <c r="BQ8" s="885">
        <f t="shared" si="11"/>
        <v>2.5</v>
      </c>
    </row>
    <row r="9" spans="1:69" ht="36" x14ac:dyDescent="0.2">
      <c r="A9" s="748">
        <v>5</v>
      </c>
      <c r="B9" s="24">
        <v>12</v>
      </c>
      <c r="C9" s="25" t="s">
        <v>210</v>
      </c>
      <c r="D9" s="69">
        <f>27500</f>
        <v>27500</v>
      </c>
      <c r="E9" s="68">
        <v>1</v>
      </c>
      <c r="F9" s="12"/>
      <c r="G9" s="15"/>
      <c r="H9" s="61">
        <f>E9-F9-G9</f>
        <v>1</v>
      </c>
      <c r="I9" s="66">
        <f>IF($E9&lt;&gt;0,F9*$D9/$E9,0)</f>
        <v>0</v>
      </c>
      <c r="J9" s="16">
        <f>IF($E9&lt;&gt;0,G9*$D9/$E9,0)</f>
        <v>0</v>
      </c>
      <c r="K9" s="410">
        <f>D9-I9-J9</f>
        <v>27500</v>
      </c>
      <c r="L9" s="1013" t="s">
        <v>510</v>
      </c>
      <c r="M9" s="1011" t="s">
        <v>498</v>
      </c>
      <c r="N9" s="129">
        <v>33000</v>
      </c>
      <c r="O9" s="68">
        <v>1</v>
      </c>
      <c r="P9" s="15"/>
      <c r="Q9" s="16">
        <f t="shared" si="0"/>
        <v>0</v>
      </c>
      <c r="R9" s="1003">
        <f t="shared" si="15"/>
        <v>0</v>
      </c>
      <c r="S9" s="129">
        <v>33000</v>
      </c>
      <c r="T9" s="68">
        <v>1</v>
      </c>
      <c r="U9" s="15">
        <v>0.15</v>
      </c>
      <c r="V9" s="16">
        <f t="shared" si="1"/>
        <v>4950</v>
      </c>
      <c r="W9" s="1003">
        <f t="shared" si="16"/>
        <v>1494.9</v>
      </c>
      <c r="X9" s="129">
        <v>33000</v>
      </c>
      <c r="Y9" s="68">
        <v>1</v>
      </c>
      <c r="Z9" s="15"/>
      <c r="AA9" s="16">
        <f t="shared" si="2"/>
        <v>0</v>
      </c>
      <c r="AB9" s="1003">
        <f t="shared" si="17"/>
        <v>0</v>
      </c>
      <c r="AC9" s="129">
        <v>31319.200000000001</v>
      </c>
      <c r="AD9" s="68">
        <v>1</v>
      </c>
      <c r="AE9" s="15"/>
      <c r="AF9" s="16">
        <f t="shared" ref="AF9:AF16" si="27">IF($AD9&lt;&gt;0,AE9*$AC9/$AD9,0)</f>
        <v>0</v>
      </c>
      <c r="AG9" s="1003">
        <f t="shared" si="18"/>
        <v>0</v>
      </c>
      <c r="AH9" s="129">
        <v>33000</v>
      </c>
      <c r="AI9" s="68">
        <v>1</v>
      </c>
      <c r="AJ9" s="15"/>
      <c r="AK9" s="16">
        <f t="shared" ref="AK9:AK21" si="28">IF($AI9&lt;&gt;0,AJ9*$AH9/$AI9,0)</f>
        <v>0</v>
      </c>
      <c r="AL9" s="1003">
        <f t="shared" si="19"/>
        <v>0</v>
      </c>
      <c r="AM9" s="129">
        <v>33000</v>
      </c>
      <c r="AN9" s="68">
        <v>1</v>
      </c>
      <c r="AO9" s="15">
        <v>0.05</v>
      </c>
      <c r="AP9" s="16">
        <f t="shared" si="5"/>
        <v>1650</v>
      </c>
      <c r="AQ9" s="1003">
        <f t="shared" si="20"/>
        <v>498.3</v>
      </c>
      <c r="AR9" s="617">
        <v>30143.599999999999</v>
      </c>
      <c r="AS9" s="619">
        <v>1</v>
      </c>
      <c r="AT9" s="15"/>
      <c r="AU9" s="16">
        <f t="shared" si="6"/>
        <v>0</v>
      </c>
      <c r="AV9" s="1003">
        <f t="shared" si="21"/>
        <v>0</v>
      </c>
      <c r="AW9" s="617">
        <v>33000</v>
      </c>
      <c r="AX9" s="619">
        <v>1</v>
      </c>
      <c r="AY9" s="15"/>
      <c r="AZ9" s="16">
        <f t="shared" si="7"/>
        <v>0</v>
      </c>
      <c r="BA9" s="1003">
        <f t="shared" si="22"/>
        <v>0</v>
      </c>
      <c r="BB9" s="131">
        <v>33000</v>
      </c>
      <c r="BC9" s="133">
        <v>1</v>
      </c>
      <c r="BD9" s="15"/>
      <c r="BE9" s="16">
        <f t="shared" si="8"/>
        <v>0</v>
      </c>
      <c r="BF9" s="1003">
        <f t="shared" si="23"/>
        <v>0</v>
      </c>
      <c r="BG9" s="131">
        <v>33000</v>
      </c>
      <c r="BH9" s="133">
        <v>1</v>
      </c>
      <c r="BI9" s="15"/>
      <c r="BJ9" s="16">
        <f t="shared" si="9"/>
        <v>0</v>
      </c>
      <c r="BK9" s="1003">
        <f t="shared" si="24"/>
        <v>0</v>
      </c>
      <c r="BL9" s="131">
        <v>33000</v>
      </c>
      <c r="BM9" s="133">
        <v>1</v>
      </c>
      <c r="BN9" s="15">
        <v>0.3</v>
      </c>
      <c r="BO9" s="16">
        <f t="shared" si="10"/>
        <v>9900</v>
      </c>
      <c r="BP9" s="1006">
        <f t="shared" si="25"/>
        <v>2989.8</v>
      </c>
      <c r="BQ9" s="885">
        <f t="shared" si="11"/>
        <v>0.5</v>
      </c>
    </row>
    <row r="10" spans="1:69" ht="48" x14ac:dyDescent="0.2">
      <c r="A10" s="748">
        <v>6</v>
      </c>
      <c r="B10" s="24">
        <v>15</v>
      </c>
      <c r="C10" s="25" t="s">
        <v>212</v>
      </c>
      <c r="D10" s="69"/>
      <c r="E10" s="68"/>
      <c r="F10" s="12"/>
      <c r="G10" s="15"/>
      <c r="H10" s="61"/>
      <c r="I10" s="66"/>
      <c r="J10" s="16"/>
      <c r="K10" s="410"/>
      <c r="L10" s="1011" t="s">
        <v>506</v>
      </c>
      <c r="M10" s="1011" t="s">
        <v>501</v>
      </c>
      <c r="N10" s="27"/>
      <c r="O10" s="68"/>
      <c r="P10" s="15"/>
      <c r="Q10" s="16"/>
      <c r="R10" s="1003">
        <f t="shared" si="15"/>
        <v>0</v>
      </c>
      <c r="S10" s="69"/>
      <c r="T10" s="68"/>
      <c r="U10" s="15"/>
      <c r="V10" s="16"/>
      <c r="W10" s="1003">
        <f t="shared" si="16"/>
        <v>0</v>
      </c>
      <c r="X10" s="69"/>
      <c r="Y10" s="68"/>
      <c r="Z10" s="15"/>
      <c r="AA10" s="16">
        <f t="shared" ref="AA10:AA13" si="29">IF($Y10&lt;&gt;0,Z10*$X10/$Y10,0)</f>
        <v>0</v>
      </c>
      <c r="AB10" s="1003">
        <f t="shared" si="17"/>
        <v>0</v>
      </c>
      <c r="AC10" s="69">
        <v>25000</v>
      </c>
      <c r="AD10" s="68">
        <v>1</v>
      </c>
      <c r="AE10" s="15">
        <v>0.25</v>
      </c>
      <c r="AF10" s="16">
        <f t="shared" si="27"/>
        <v>6250</v>
      </c>
      <c r="AG10" s="1003">
        <f t="shared" si="18"/>
        <v>1887.5</v>
      </c>
      <c r="AH10" s="69">
        <v>25000</v>
      </c>
      <c r="AI10" s="68">
        <v>1</v>
      </c>
      <c r="AJ10" s="15"/>
      <c r="AK10" s="16">
        <f t="shared" si="28"/>
        <v>0</v>
      </c>
      <c r="AL10" s="1003">
        <f t="shared" si="19"/>
        <v>0</v>
      </c>
      <c r="AM10" s="69">
        <v>25000</v>
      </c>
      <c r="AN10" s="68">
        <v>1</v>
      </c>
      <c r="AO10" s="15"/>
      <c r="AP10" s="16">
        <f t="shared" ref="AP10:AP13" si="30">IF($AN10&lt;&gt;0,AO10*$AM10/$AN10,0)</f>
        <v>0</v>
      </c>
      <c r="AQ10" s="1003">
        <f t="shared" si="20"/>
        <v>0</v>
      </c>
      <c r="AR10" s="620">
        <v>25000</v>
      </c>
      <c r="AS10" s="619">
        <v>1</v>
      </c>
      <c r="AT10" s="15"/>
      <c r="AU10" s="16">
        <f t="shared" ref="AU10:AU13" si="31">IF($AS10&lt;&gt;0,AT10*$AR10/$AS10,0)</f>
        <v>0</v>
      </c>
      <c r="AV10" s="1003">
        <f t="shared" si="21"/>
        <v>0</v>
      </c>
      <c r="AW10" s="620">
        <v>25000</v>
      </c>
      <c r="AX10" s="619">
        <v>1</v>
      </c>
      <c r="AY10" s="15"/>
      <c r="AZ10" s="16">
        <f t="shared" ref="AZ10:AZ28" si="32">IF($AX10&lt;&gt;0,AY10*$AW10/$AX10,0)</f>
        <v>0</v>
      </c>
      <c r="BA10" s="1003">
        <f t="shared" si="22"/>
        <v>0</v>
      </c>
      <c r="BB10" s="134">
        <v>25000</v>
      </c>
      <c r="BC10" s="133">
        <v>1</v>
      </c>
      <c r="BD10" s="15"/>
      <c r="BE10" s="16">
        <f t="shared" ref="BE10:BE28" si="33">IF($BC10&lt;&gt;0,BD10*$BB10/$BC10,0)</f>
        <v>0</v>
      </c>
      <c r="BF10" s="1003">
        <f t="shared" si="23"/>
        <v>0</v>
      </c>
      <c r="BG10" s="134">
        <v>25000</v>
      </c>
      <c r="BH10" s="133">
        <v>1</v>
      </c>
      <c r="BI10" s="15"/>
      <c r="BJ10" s="16">
        <f t="shared" ref="BJ10:BJ28" si="34">IF($BH10&lt;&gt;0,BI10*$BG10/$BH10,0)</f>
        <v>0</v>
      </c>
      <c r="BK10" s="1003">
        <f t="shared" si="24"/>
        <v>0</v>
      </c>
      <c r="BL10" s="134">
        <v>25000</v>
      </c>
      <c r="BM10" s="133">
        <v>1</v>
      </c>
      <c r="BN10" s="15"/>
      <c r="BO10" s="16">
        <f t="shared" ref="BO10:BO28" si="35">IF($BM10&lt;&gt;0,BN10*$BL10/$BM10,0)</f>
        <v>0</v>
      </c>
      <c r="BP10" s="1006">
        <f t="shared" si="25"/>
        <v>0</v>
      </c>
      <c r="BQ10" s="885">
        <f t="shared" si="11"/>
        <v>0.25</v>
      </c>
    </row>
    <row r="11" spans="1:69" ht="48" x14ac:dyDescent="0.2">
      <c r="A11" s="748">
        <v>7</v>
      </c>
      <c r="B11" s="24">
        <v>17</v>
      </c>
      <c r="C11" s="25" t="s">
        <v>36</v>
      </c>
      <c r="D11" s="69">
        <f>25000</f>
        <v>25000</v>
      </c>
      <c r="E11" s="68">
        <v>1</v>
      </c>
      <c r="F11" s="12"/>
      <c r="G11" s="15"/>
      <c r="H11" s="61">
        <f t="shared" si="12"/>
        <v>1</v>
      </c>
      <c r="I11" s="66">
        <f t="shared" si="13"/>
        <v>0</v>
      </c>
      <c r="J11" s="16">
        <f t="shared" si="13"/>
        <v>0</v>
      </c>
      <c r="K11" s="410">
        <f t="shared" si="14"/>
        <v>25000</v>
      </c>
      <c r="L11" s="1011" t="s">
        <v>507</v>
      </c>
      <c r="M11" s="1011" t="s">
        <v>500</v>
      </c>
      <c r="N11" s="27">
        <v>27500</v>
      </c>
      <c r="O11" s="68">
        <v>1</v>
      </c>
      <c r="P11" s="15">
        <v>0.3</v>
      </c>
      <c r="Q11" s="16">
        <f t="shared" ref="Q11:Q19" si="36">IF($O11&lt;&gt;0,P11*$N11/$O11,0)</f>
        <v>8250</v>
      </c>
      <c r="R11" s="1003">
        <f t="shared" si="15"/>
        <v>2491.5</v>
      </c>
      <c r="S11" s="69">
        <v>27500</v>
      </c>
      <c r="T11" s="68">
        <v>1</v>
      </c>
      <c r="U11" s="15"/>
      <c r="V11" s="16">
        <f t="shared" ref="V11:V19" si="37">IF($T11&lt;&gt;0,U11*$S11/$T11,0)</f>
        <v>0</v>
      </c>
      <c r="W11" s="1003">
        <f t="shared" si="16"/>
        <v>0</v>
      </c>
      <c r="X11" s="69">
        <v>27500</v>
      </c>
      <c r="Y11" s="68">
        <v>1</v>
      </c>
      <c r="Z11" s="15"/>
      <c r="AA11" s="16">
        <f t="shared" si="29"/>
        <v>0</v>
      </c>
      <c r="AB11" s="1003">
        <f t="shared" si="17"/>
        <v>0</v>
      </c>
      <c r="AC11" s="69">
        <v>38107.14</v>
      </c>
      <c r="AD11" s="68">
        <v>1</v>
      </c>
      <c r="AE11" s="15"/>
      <c r="AF11" s="16">
        <f t="shared" si="27"/>
        <v>0</v>
      </c>
      <c r="AG11" s="1003">
        <f t="shared" si="18"/>
        <v>0</v>
      </c>
      <c r="AH11" s="69">
        <v>29338</v>
      </c>
      <c r="AI11" s="68">
        <v>1</v>
      </c>
      <c r="AJ11" s="15">
        <v>0.5</v>
      </c>
      <c r="AK11" s="16">
        <f t="shared" si="28"/>
        <v>14669</v>
      </c>
      <c r="AL11" s="1003">
        <f t="shared" si="19"/>
        <v>4430.04</v>
      </c>
      <c r="AM11" s="69">
        <v>30250</v>
      </c>
      <c r="AN11" s="68">
        <v>1</v>
      </c>
      <c r="AO11" s="15">
        <v>0.5</v>
      </c>
      <c r="AP11" s="16">
        <f t="shared" si="30"/>
        <v>15125</v>
      </c>
      <c r="AQ11" s="1003">
        <f t="shared" si="20"/>
        <v>4567.75</v>
      </c>
      <c r="AR11" s="620">
        <v>30250</v>
      </c>
      <c r="AS11" s="619">
        <v>1</v>
      </c>
      <c r="AT11" s="15"/>
      <c r="AU11" s="16">
        <f t="shared" si="31"/>
        <v>0</v>
      </c>
      <c r="AV11" s="1003">
        <f t="shared" si="21"/>
        <v>0</v>
      </c>
      <c r="AW11" s="620">
        <v>30250</v>
      </c>
      <c r="AX11" s="619">
        <v>1</v>
      </c>
      <c r="AY11" s="15"/>
      <c r="AZ11" s="16">
        <f t="shared" si="32"/>
        <v>0</v>
      </c>
      <c r="BA11" s="1003">
        <f t="shared" si="22"/>
        <v>0</v>
      </c>
      <c r="BB11" s="134">
        <v>30250</v>
      </c>
      <c r="BC11" s="133">
        <v>1</v>
      </c>
      <c r="BD11" s="15"/>
      <c r="BE11" s="16">
        <f t="shared" si="33"/>
        <v>0</v>
      </c>
      <c r="BF11" s="1003">
        <f t="shared" si="23"/>
        <v>0</v>
      </c>
      <c r="BG11" s="134">
        <v>30250</v>
      </c>
      <c r="BH11" s="133">
        <v>1</v>
      </c>
      <c r="BI11" s="15"/>
      <c r="BJ11" s="16">
        <f t="shared" si="34"/>
        <v>0</v>
      </c>
      <c r="BK11" s="1003">
        <f t="shared" si="24"/>
        <v>0</v>
      </c>
      <c r="BL11" s="134">
        <v>30250</v>
      </c>
      <c r="BM11" s="133">
        <v>1</v>
      </c>
      <c r="BN11" s="15"/>
      <c r="BO11" s="16">
        <f t="shared" si="35"/>
        <v>0</v>
      </c>
      <c r="BP11" s="1006">
        <f t="shared" si="25"/>
        <v>0</v>
      </c>
      <c r="BQ11" s="885">
        <f t="shared" si="11"/>
        <v>1.3</v>
      </c>
    </row>
    <row r="12" spans="1:69" ht="36" x14ac:dyDescent="0.2">
      <c r="A12" s="748">
        <v>8</v>
      </c>
      <c r="B12" s="24">
        <v>20</v>
      </c>
      <c r="C12" s="25" t="s">
        <v>8</v>
      </c>
      <c r="D12" s="69">
        <v>25000</v>
      </c>
      <c r="E12" s="68">
        <v>1</v>
      </c>
      <c r="F12" s="12"/>
      <c r="G12" s="15"/>
      <c r="H12" s="61">
        <f t="shared" si="12"/>
        <v>1</v>
      </c>
      <c r="I12" s="66">
        <f t="shared" si="13"/>
        <v>0</v>
      </c>
      <c r="J12" s="16">
        <f t="shared" si="13"/>
        <v>0</v>
      </c>
      <c r="K12" s="410">
        <f t="shared" si="14"/>
        <v>25000</v>
      </c>
      <c r="L12" s="1013" t="s">
        <v>511</v>
      </c>
      <c r="M12" s="1011" t="s">
        <v>499</v>
      </c>
      <c r="N12" s="27">
        <v>50000</v>
      </c>
      <c r="O12" s="68">
        <v>1</v>
      </c>
      <c r="P12" s="15"/>
      <c r="Q12" s="16">
        <f t="shared" si="36"/>
        <v>0</v>
      </c>
      <c r="R12" s="1003">
        <f t="shared" si="15"/>
        <v>0</v>
      </c>
      <c r="S12" s="69">
        <v>50000</v>
      </c>
      <c r="T12" s="68">
        <v>1</v>
      </c>
      <c r="U12" s="15"/>
      <c r="V12" s="16">
        <f t="shared" si="37"/>
        <v>0</v>
      </c>
      <c r="W12" s="1003">
        <f t="shared" si="16"/>
        <v>0</v>
      </c>
      <c r="X12" s="69">
        <v>50000</v>
      </c>
      <c r="Y12" s="68">
        <v>1</v>
      </c>
      <c r="Z12" s="15">
        <v>0.35</v>
      </c>
      <c r="AA12" s="16">
        <f t="shared" si="29"/>
        <v>17500</v>
      </c>
      <c r="AB12" s="1003">
        <f t="shared" si="17"/>
        <v>5285</v>
      </c>
      <c r="AC12" s="69">
        <v>72175.210000000006</v>
      </c>
      <c r="AD12" s="68">
        <v>1</v>
      </c>
      <c r="AE12" s="15">
        <v>0.25</v>
      </c>
      <c r="AF12" s="16">
        <f t="shared" si="27"/>
        <v>18043.8</v>
      </c>
      <c r="AG12" s="1003">
        <f t="shared" si="18"/>
        <v>5449.23</v>
      </c>
      <c r="AH12" s="69">
        <v>18181.82</v>
      </c>
      <c r="AI12" s="68">
        <v>1</v>
      </c>
      <c r="AJ12" s="15">
        <v>0.15</v>
      </c>
      <c r="AK12" s="16">
        <f t="shared" si="28"/>
        <v>2727.27</v>
      </c>
      <c r="AL12" s="1003">
        <f t="shared" si="19"/>
        <v>823.64</v>
      </c>
      <c r="AM12" s="69">
        <v>49639.87</v>
      </c>
      <c r="AN12" s="68">
        <v>1</v>
      </c>
      <c r="AO12" s="15">
        <v>0.35</v>
      </c>
      <c r="AP12" s="16">
        <f t="shared" si="30"/>
        <v>17373.95</v>
      </c>
      <c r="AQ12" s="1003">
        <f t="shared" si="20"/>
        <v>5246.93</v>
      </c>
      <c r="AR12" s="620">
        <v>50000</v>
      </c>
      <c r="AS12" s="619">
        <v>1</v>
      </c>
      <c r="AT12" s="15">
        <v>0.5</v>
      </c>
      <c r="AU12" s="16">
        <f t="shared" si="31"/>
        <v>25000</v>
      </c>
      <c r="AV12" s="1003">
        <f t="shared" si="21"/>
        <v>7550</v>
      </c>
      <c r="AW12" s="620">
        <v>50000</v>
      </c>
      <c r="AX12" s="619">
        <v>1</v>
      </c>
      <c r="AY12" s="15"/>
      <c r="AZ12" s="16">
        <f t="shared" si="32"/>
        <v>0</v>
      </c>
      <c r="BA12" s="1003">
        <f t="shared" si="22"/>
        <v>0</v>
      </c>
      <c r="BB12" s="134">
        <v>50000</v>
      </c>
      <c r="BC12" s="133">
        <v>1</v>
      </c>
      <c r="BD12" s="15"/>
      <c r="BE12" s="16">
        <f t="shared" si="33"/>
        <v>0</v>
      </c>
      <c r="BF12" s="1003">
        <f t="shared" si="23"/>
        <v>0</v>
      </c>
      <c r="BG12" s="134">
        <v>50000</v>
      </c>
      <c r="BH12" s="133">
        <v>1</v>
      </c>
      <c r="BI12" s="15"/>
      <c r="BJ12" s="16">
        <f t="shared" si="34"/>
        <v>0</v>
      </c>
      <c r="BK12" s="1003">
        <f t="shared" si="24"/>
        <v>0</v>
      </c>
      <c r="BL12" s="134">
        <v>50000</v>
      </c>
      <c r="BM12" s="133">
        <v>1</v>
      </c>
      <c r="BN12" s="15"/>
      <c r="BO12" s="16">
        <f t="shared" si="35"/>
        <v>0</v>
      </c>
      <c r="BP12" s="1006">
        <f t="shared" si="25"/>
        <v>0</v>
      </c>
      <c r="BQ12" s="885">
        <f t="shared" si="11"/>
        <v>1.6</v>
      </c>
    </row>
    <row r="13" spans="1:69" ht="36" x14ac:dyDescent="0.2">
      <c r="A13" s="748">
        <v>9</v>
      </c>
      <c r="B13" s="24">
        <v>25</v>
      </c>
      <c r="C13" s="25" t="s">
        <v>12</v>
      </c>
      <c r="D13" s="69">
        <f>77000</f>
        <v>77000</v>
      </c>
      <c r="E13" s="68">
        <v>1</v>
      </c>
      <c r="F13" s="12"/>
      <c r="G13" s="15"/>
      <c r="H13" s="61">
        <f t="shared" si="12"/>
        <v>1</v>
      </c>
      <c r="I13" s="66">
        <f t="shared" si="13"/>
        <v>0</v>
      </c>
      <c r="J13" s="16">
        <f t="shared" si="13"/>
        <v>0</v>
      </c>
      <c r="K13" s="410">
        <f t="shared" si="14"/>
        <v>77000</v>
      </c>
      <c r="L13" s="1011" t="s">
        <v>508</v>
      </c>
      <c r="M13" s="1011" t="s">
        <v>499</v>
      </c>
      <c r="N13" s="27">
        <v>99000</v>
      </c>
      <c r="O13" s="68">
        <v>1</v>
      </c>
      <c r="P13" s="15"/>
      <c r="Q13" s="16">
        <f t="shared" si="36"/>
        <v>0</v>
      </c>
      <c r="R13" s="1003">
        <f t="shared" si="15"/>
        <v>0</v>
      </c>
      <c r="S13" s="69">
        <v>99000</v>
      </c>
      <c r="T13" s="68">
        <v>1</v>
      </c>
      <c r="U13" s="15">
        <v>0.15</v>
      </c>
      <c r="V13" s="16">
        <f t="shared" si="37"/>
        <v>14850</v>
      </c>
      <c r="W13" s="1003">
        <f t="shared" si="16"/>
        <v>4484.7</v>
      </c>
      <c r="X13" s="69">
        <v>99000</v>
      </c>
      <c r="Y13" s="68">
        <v>1</v>
      </c>
      <c r="Z13" s="15">
        <v>0.15</v>
      </c>
      <c r="AA13" s="16">
        <f t="shared" si="29"/>
        <v>14850</v>
      </c>
      <c r="AB13" s="1003">
        <f t="shared" si="17"/>
        <v>4484.7</v>
      </c>
      <c r="AC13" s="69">
        <v>96016.62</v>
      </c>
      <c r="AD13" s="68">
        <v>1</v>
      </c>
      <c r="AE13" s="15"/>
      <c r="AF13" s="16">
        <f t="shared" si="27"/>
        <v>0</v>
      </c>
      <c r="AG13" s="1003">
        <f t="shared" si="18"/>
        <v>0</v>
      </c>
      <c r="AH13" s="69">
        <v>99000</v>
      </c>
      <c r="AI13" s="68">
        <v>1</v>
      </c>
      <c r="AJ13" s="15">
        <v>0.05</v>
      </c>
      <c r="AK13" s="16">
        <f t="shared" si="28"/>
        <v>4950</v>
      </c>
      <c r="AL13" s="1008">
        <f>AK13*10.2%</f>
        <v>504.9</v>
      </c>
      <c r="AM13" s="69">
        <v>105856.45</v>
      </c>
      <c r="AN13" s="68">
        <v>1</v>
      </c>
      <c r="AO13" s="15"/>
      <c r="AP13" s="16">
        <f t="shared" si="30"/>
        <v>0</v>
      </c>
      <c r="AQ13" s="1003">
        <f t="shared" si="20"/>
        <v>0</v>
      </c>
      <c r="AR13" s="620">
        <v>99000</v>
      </c>
      <c r="AS13" s="619">
        <v>1</v>
      </c>
      <c r="AT13" s="15">
        <v>0.05</v>
      </c>
      <c r="AU13" s="16">
        <f t="shared" si="31"/>
        <v>4950</v>
      </c>
      <c r="AV13" s="1003">
        <f>AU13*10.2%</f>
        <v>504.9</v>
      </c>
      <c r="AW13" s="620">
        <v>104500</v>
      </c>
      <c r="AX13" s="619">
        <v>1</v>
      </c>
      <c r="AY13" s="15"/>
      <c r="AZ13" s="16">
        <f t="shared" si="32"/>
        <v>0</v>
      </c>
      <c r="BA13" s="1003">
        <f t="shared" si="22"/>
        <v>0</v>
      </c>
      <c r="BB13" s="134">
        <v>109597.85</v>
      </c>
      <c r="BC13" s="133">
        <v>1</v>
      </c>
      <c r="BD13" s="15"/>
      <c r="BE13" s="16">
        <f t="shared" si="33"/>
        <v>0</v>
      </c>
      <c r="BF13" s="1003">
        <f t="shared" si="23"/>
        <v>0</v>
      </c>
      <c r="BG13" s="134">
        <v>104500</v>
      </c>
      <c r="BH13" s="133">
        <v>1</v>
      </c>
      <c r="BI13" s="15"/>
      <c r="BJ13" s="16">
        <f t="shared" si="34"/>
        <v>0</v>
      </c>
      <c r="BK13" s="1003">
        <f t="shared" si="24"/>
        <v>0</v>
      </c>
      <c r="BL13" s="134">
        <v>104500</v>
      </c>
      <c r="BM13" s="133">
        <v>1</v>
      </c>
      <c r="BN13" s="15"/>
      <c r="BO13" s="16">
        <f t="shared" si="35"/>
        <v>0</v>
      </c>
      <c r="BP13" s="1006">
        <f t="shared" si="25"/>
        <v>0</v>
      </c>
      <c r="BQ13" s="885">
        <f t="shared" si="11"/>
        <v>0.4</v>
      </c>
    </row>
    <row r="14" spans="1:69" ht="48" x14ac:dyDescent="0.2">
      <c r="A14" s="748">
        <v>10</v>
      </c>
      <c r="B14" s="24">
        <v>26</v>
      </c>
      <c r="C14" s="25" t="s">
        <v>13</v>
      </c>
      <c r="D14" s="69">
        <f>60500</f>
        <v>60500</v>
      </c>
      <c r="E14" s="68">
        <v>1</v>
      </c>
      <c r="F14" s="12"/>
      <c r="G14" s="15"/>
      <c r="H14" s="61">
        <f t="shared" si="12"/>
        <v>1</v>
      </c>
      <c r="I14" s="66">
        <f t="shared" si="13"/>
        <v>0</v>
      </c>
      <c r="J14" s="16">
        <f t="shared" si="13"/>
        <v>0</v>
      </c>
      <c r="K14" s="410">
        <f t="shared" si="14"/>
        <v>60500</v>
      </c>
      <c r="L14" s="1011" t="s">
        <v>509</v>
      </c>
      <c r="M14" s="1011" t="s">
        <v>500</v>
      </c>
      <c r="N14" s="129">
        <f>3333.33+70425.6</f>
        <v>73758.929999999993</v>
      </c>
      <c r="O14" s="68">
        <v>1</v>
      </c>
      <c r="P14" s="15"/>
      <c r="Q14" s="16">
        <f t="shared" si="36"/>
        <v>0</v>
      </c>
      <c r="R14" s="1003">
        <f t="shared" si="15"/>
        <v>0</v>
      </c>
      <c r="S14" s="129">
        <v>70000</v>
      </c>
      <c r="T14" s="68">
        <v>1</v>
      </c>
      <c r="U14" s="15">
        <v>0.5</v>
      </c>
      <c r="V14" s="16">
        <f t="shared" si="37"/>
        <v>35000</v>
      </c>
      <c r="W14" s="1003">
        <f t="shared" si="16"/>
        <v>10570</v>
      </c>
      <c r="X14" s="129">
        <v>70000</v>
      </c>
      <c r="Y14" s="68">
        <v>1</v>
      </c>
      <c r="Z14" s="15"/>
      <c r="AA14" s="16">
        <f t="shared" ref="AA14:AA28" si="38">IF($Y14&lt;&gt;0,Z14*$X14/$Y14,0)</f>
        <v>0</v>
      </c>
      <c r="AB14" s="1003">
        <f t="shared" si="17"/>
        <v>0</v>
      </c>
      <c r="AC14" s="129">
        <v>70000</v>
      </c>
      <c r="AD14" s="68">
        <v>1</v>
      </c>
      <c r="AE14" s="15">
        <v>0.35</v>
      </c>
      <c r="AF14" s="16">
        <f t="shared" si="27"/>
        <v>24500</v>
      </c>
      <c r="AG14" s="1003">
        <f t="shared" si="18"/>
        <v>7399</v>
      </c>
      <c r="AH14" s="129">
        <v>70000</v>
      </c>
      <c r="AI14" s="68">
        <v>1</v>
      </c>
      <c r="AJ14" s="15"/>
      <c r="AK14" s="16">
        <f t="shared" si="28"/>
        <v>0</v>
      </c>
      <c r="AL14" s="1003">
        <f t="shared" si="19"/>
        <v>0</v>
      </c>
      <c r="AM14" s="129">
        <v>70000</v>
      </c>
      <c r="AN14" s="68">
        <v>1</v>
      </c>
      <c r="AO14" s="15"/>
      <c r="AP14" s="16">
        <f t="shared" ref="AP14:AP28" si="39">IF($AN14&lt;&gt;0,AO14*$AM14/$AN14,0)</f>
        <v>0</v>
      </c>
      <c r="AQ14" s="1003">
        <f t="shared" si="20"/>
        <v>0</v>
      </c>
      <c r="AR14" s="617">
        <v>70000</v>
      </c>
      <c r="AS14" s="619">
        <v>1</v>
      </c>
      <c r="AT14" s="15"/>
      <c r="AU14" s="16">
        <f t="shared" ref="AU14:AU28" si="40">IF($AS14&lt;&gt;0,AT14*$AR14/$AS14,0)</f>
        <v>0</v>
      </c>
      <c r="AV14" s="1003">
        <f t="shared" si="21"/>
        <v>0</v>
      </c>
      <c r="AW14" s="617">
        <v>70000</v>
      </c>
      <c r="AX14" s="619">
        <v>1</v>
      </c>
      <c r="AY14" s="15"/>
      <c r="AZ14" s="16">
        <f t="shared" si="32"/>
        <v>0</v>
      </c>
      <c r="BA14" s="1003">
        <f t="shared" si="22"/>
        <v>0</v>
      </c>
      <c r="BB14" s="131">
        <v>70000</v>
      </c>
      <c r="BC14" s="133">
        <v>1</v>
      </c>
      <c r="BD14" s="15"/>
      <c r="BE14" s="16">
        <f t="shared" si="33"/>
        <v>0</v>
      </c>
      <c r="BF14" s="1003">
        <f t="shared" si="23"/>
        <v>0</v>
      </c>
      <c r="BG14" s="131">
        <v>70000</v>
      </c>
      <c r="BH14" s="133">
        <v>1</v>
      </c>
      <c r="BI14" s="15"/>
      <c r="BJ14" s="16">
        <f t="shared" si="34"/>
        <v>0</v>
      </c>
      <c r="BK14" s="1003">
        <f t="shared" si="24"/>
        <v>0</v>
      </c>
      <c r="BL14" s="131">
        <v>70000</v>
      </c>
      <c r="BM14" s="133">
        <v>1</v>
      </c>
      <c r="BN14" s="15"/>
      <c r="BO14" s="16">
        <f t="shared" si="35"/>
        <v>0</v>
      </c>
      <c r="BP14" s="1006">
        <f t="shared" si="25"/>
        <v>0</v>
      </c>
      <c r="BQ14" s="885">
        <f t="shared" ref="BQ14:BQ28" si="41">BN14+BI14+BD14+AY14+AT14+AO14+AJ14+AE14+Z14+U14+P14</f>
        <v>0.85</v>
      </c>
    </row>
    <row r="15" spans="1:69" ht="60" x14ac:dyDescent="0.2">
      <c r="A15" s="748">
        <v>11</v>
      </c>
      <c r="B15" s="24">
        <v>39</v>
      </c>
      <c r="C15" s="25" t="s">
        <v>17</v>
      </c>
      <c r="D15" s="69">
        <f>35000</f>
        <v>35000</v>
      </c>
      <c r="E15" s="68">
        <v>0.5</v>
      </c>
      <c r="F15" s="12"/>
      <c r="G15" s="15"/>
      <c r="H15" s="61">
        <f t="shared" si="12"/>
        <v>0.5</v>
      </c>
      <c r="I15" s="66">
        <f t="shared" si="13"/>
        <v>0</v>
      </c>
      <c r="J15" s="16">
        <f t="shared" si="13"/>
        <v>0</v>
      </c>
      <c r="K15" s="410">
        <f t="shared" si="14"/>
        <v>35000</v>
      </c>
      <c r="L15" s="1011" t="s">
        <v>508</v>
      </c>
      <c r="M15" s="1011" t="s">
        <v>502</v>
      </c>
      <c r="N15" s="129">
        <f>18333.33+22353.38</f>
        <v>40686.71</v>
      </c>
      <c r="O15" s="68">
        <v>0.5</v>
      </c>
      <c r="P15" s="15">
        <v>0.2</v>
      </c>
      <c r="Q15" s="16">
        <f t="shared" si="36"/>
        <v>16274.68</v>
      </c>
      <c r="R15" s="1003">
        <f t="shared" si="15"/>
        <v>4914.95</v>
      </c>
      <c r="S15" s="129">
        <v>35000</v>
      </c>
      <c r="T15" s="68">
        <v>0.5</v>
      </c>
      <c r="U15" s="15"/>
      <c r="V15" s="16">
        <f t="shared" si="37"/>
        <v>0</v>
      </c>
      <c r="W15" s="1003">
        <f t="shared" si="16"/>
        <v>0</v>
      </c>
      <c r="X15" s="129">
        <v>35000</v>
      </c>
      <c r="Y15" s="68">
        <v>0.5</v>
      </c>
      <c r="Z15" s="15">
        <v>0.2</v>
      </c>
      <c r="AA15" s="16">
        <f t="shared" si="38"/>
        <v>14000</v>
      </c>
      <c r="AB15" s="1003">
        <f t="shared" si="17"/>
        <v>4228</v>
      </c>
      <c r="AC15" s="129">
        <v>35000</v>
      </c>
      <c r="AD15" s="68">
        <v>0.5</v>
      </c>
      <c r="AE15" s="15">
        <v>0.15</v>
      </c>
      <c r="AF15" s="16">
        <f t="shared" si="27"/>
        <v>10500</v>
      </c>
      <c r="AG15" s="1003">
        <f t="shared" si="18"/>
        <v>3171</v>
      </c>
      <c r="AH15" s="129">
        <v>35000</v>
      </c>
      <c r="AI15" s="68">
        <v>0.5</v>
      </c>
      <c r="AJ15" s="15">
        <v>0.3</v>
      </c>
      <c r="AK15" s="16">
        <f t="shared" si="28"/>
        <v>21000</v>
      </c>
      <c r="AL15" s="1003">
        <f t="shared" si="19"/>
        <v>6342</v>
      </c>
      <c r="AM15" s="129">
        <v>35000</v>
      </c>
      <c r="AN15" s="68">
        <v>0.5</v>
      </c>
      <c r="AO15" s="15"/>
      <c r="AP15" s="16">
        <f t="shared" si="39"/>
        <v>0</v>
      </c>
      <c r="AQ15" s="1003">
        <f t="shared" si="20"/>
        <v>0</v>
      </c>
      <c r="AR15" s="617">
        <v>35000</v>
      </c>
      <c r="AS15" s="619">
        <v>0.5</v>
      </c>
      <c r="AT15" s="15"/>
      <c r="AU15" s="16">
        <f t="shared" si="40"/>
        <v>0</v>
      </c>
      <c r="AV15" s="1003">
        <f t="shared" si="21"/>
        <v>0</v>
      </c>
      <c r="AW15" s="617">
        <v>35000</v>
      </c>
      <c r="AX15" s="619">
        <v>0.5</v>
      </c>
      <c r="AY15" s="15"/>
      <c r="AZ15" s="16">
        <f t="shared" si="32"/>
        <v>0</v>
      </c>
      <c r="BA15" s="1003">
        <f t="shared" si="22"/>
        <v>0</v>
      </c>
      <c r="BB15" s="131">
        <v>35000</v>
      </c>
      <c r="BC15" s="133">
        <v>0.5</v>
      </c>
      <c r="BD15" s="15"/>
      <c r="BE15" s="16">
        <f t="shared" si="33"/>
        <v>0</v>
      </c>
      <c r="BF15" s="1003">
        <f t="shared" si="23"/>
        <v>0</v>
      </c>
      <c r="BG15" s="131">
        <v>35000</v>
      </c>
      <c r="BH15" s="133">
        <v>0.5</v>
      </c>
      <c r="BI15" s="15"/>
      <c r="BJ15" s="16">
        <f t="shared" si="34"/>
        <v>0</v>
      </c>
      <c r="BK15" s="1003">
        <f t="shared" si="24"/>
        <v>0</v>
      </c>
      <c r="BL15" s="131">
        <v>35000</v>
      </c>
      <c r="BM15" s="133">
        <v>0.5</v>
      </c>
      <c r="BN15" s="15"/>
      <c r="BO15" s="16">
        <f t="shared" si="35"/>
        <v>0</v>
      </c>
      <c r="BP15" s="1006">
        <f t="shared" si="25"/>
        <v>0</v>
      </c>
      <c r="BQ15" s="885">
        <f t="shared" si="41"/>
        <v>0.85</v>
      </c>
    </row>
    <row r="16" spans="1:69" ht="48" x14ac:dyDescent="0.2">
      <c r="A16" s="748">
        <v>12</v>
      </c>
      <c r="B16" s="24">
        <v>42</v>
      </c>
      <c r="C16" s="25" t="s">
        <v>37</v>
      </c>
      <c r="D16" s="26">
        <v>25000</v>
      </c>
      <c r="E16" s="42">
        <v>1</v>
      </c>
      <c r="F16" s="12"/>
      <c r="G16" s="15"/>
      <c r="H16" s="61">
        <f t="shared" si="12"/>
        <v>1</v>
      </c>
      <c r="I16" s="66">
        <f t="shared" si="13"/>
        <v>0</v>
      </c>
      <c r="J16" s="16">
        <f t="shared" si="13"/>
        <v>0</v>
      </c>
      <c r="K16" s="410">
        <f t="shared" si="14"/>
        <v>25000</v>
      </c>
      <c r="L16" s="1011" t="s">
        <v>507</v>
      </c>
      <c r="M16" s="1011" t="s">
        <v>500</v>
      </c>
      <c r="N16" s="27">
        <f>25000*1.1</f>
        <v>27500</v>
      </c>
      <c r="O16" s="42">
        <v>1</v>
      </c>
      <c r="P16" s="15"/>
      <c r="Q16" s="16">
        <f t="shared" si="36"/>
        <v>0</v>
      </c>
      <c r="R16" s="1003">
        <f t="shared" si="15"/>
        <v>0</v>
      </c>
      <c r="S16" s="26">
        <f>19642.86+11965.24</f>
        <v>31608.1</v>
      </c>
      <c r="T16" s="42">
        <v>1</v>
      </c>
      <c r="U16" s="15">
        <v>0.2</v>
      </c>
      <c r="V16" s="16">
        <f t="shared" si="37"/>
        <v>6321.62</v>
      </c>
      <c r="W16" s="1003">
        <f t="shared" si="16"/>
        <v>1909.13</v>
      </c>
      <c r="X16" s="26">
        <v>22261.9</v>
      </c>
      <c r="Y16" s="42">
        <v>1</v>
      </c>
      <c r="Z16" s="15">
        <v>0.5</v>
      </c>
      <c r="AA16" s="16">
        <f t="shared" si="38"/>
        <v>11130.95</v>
      </c>
      <c r="AB16" s="1003">
        <f t="shared" si="17"/>
        <v>3361.55</v>
      </c>
      <c r="AC16" s="26">
        <v>26003.87</v>
      </c>
      <c r="AD16" s="42">
        <v>1</v>
      </c>
      <c r="AE16" s="15">
        <v>0.4</v>
      </c>
      <c r="AF16" s="16">
        <f t="shared" si="27"/>
        <v>10401.549999999999</v>
      </c>
      <c r="AG16" s="1003">
        <f t="shared" si="18"/>
        <v>3141.27</v>
      </c>
      <c r="AH16" s="26">
        <f>21250+998.49</f>
        <v>22248.49</v>
      </c>
      <c r="AI16" s="42">
        <f>27/31</f>
        <v>0.87</v>
      </c>
      <c r="AJ16" s="15">
        <v>0.4</v>
      </c>
      <c r="AK16" s="16">
        <f t="shared" si="28"/>
        <v>10229.19</v>
      </c>
      <c r="AL16" s="1003">
        <f t="shared" si="19"/>
        <v>3089.22</v>
      </c>
      <c r="AM16" s="26">
        <f>25000*1.1</f>
        <v>27500</v>
      </c>
      <c r="AN16" s="42">
        <v>1</v>
      </c>
      <c r="AO16" s="15">
        <v>0.5</v>
      </c>
      <c r="AP16" s="16">
        <f t="shared" si="39"/>
        <v>13750</v>
      </c>
      <c r="AQ16" s="1003">
        <f t="shared" si="20"/>
        <v>4152.5</v>
      </c>
      <c r="AR16" s="621">
        <v>21623.49</v>
      </c>
      <c r="AS16" s="623">
        <v>0.87</v>
      </c>
      <c r="AT16" s="15">
        <v>0.3</v>
      </c>
      <c r="AU16" s="16">
        <f t="shared" si="40"/>
        <v>7456.38</v>
      </c>
      <c r="AV16" s="1003">
        <f t="shared" si="21"/>
        <v>2251.83</v>
      </c>
      <c r="AW16" s="621">
        <f>25000*1.1</f>
        <v>27500</v>
      </c>
      <c r="AX16" s="623">
        <v>1</v>
      </c>
      <c r="AY16" s="15"/>
      <c r="AZ16" s="16">
        <f t="shared" si="32"/>
        <v>0</v>
      </c>
      <c r="BA16" s="1003">
        <f t="shared" si="22"/>
        <v>0</v>
      </c>
      <c r="BB16" s="135">
        <f>25000*1.1</f>
        <v>27500</v>
      </c>
      <c r="BC16" s="136">
        <v>1</v>
      </c>
      <c r="BD16" s="15"/>
      <c r="BE16" s="16">
        <f t="shared" si="33"/>
        <v>0</v>
      </c>
      <c r="BF16" s="1003">
        <f t="shared" si="23"/>
        <v>0</v>
      </c>
      <c r="BG16" s="135">
        <f>25000*1.1</f>
        <v>27500</v>
      </c>
      <c r="BH16" s="136">
        <v>1</v>
      </c>
      <c r="BI16" s="15"/>
      <c r="BJ16" s="16">
        <f t="shared" si="34"/>
        <v>0</v>
      </c>
      <c r="BK16" s="1003">
        <f t="shared" si="24"/>
        <v>0</v>
      </c>
      <c r="BL16" s="135">
        <f>25000*1.1</f>
        <v>27500</v>
      </c>
      <c r="BM16" s="136">
        <v>1</v>
      </c>
      <c r="BN16" s="15"/>
      <c r="BO16" s="16">
        <f t="shared" si="35"/>
        <v>0</v>
      </c>
      <c r="BP16" s="1006">
        <f t="shared" si="25"/>
        <v>0</v>
      </c>
      <c r="BQ16" s="885">
        <f t="shared" si="41"/>
        <v>2.2999999999999998</v>
      </c>
    </row>
    <row r="17" spans="1:70" ht="60" x14ac:dyDescent="0.2">
      <c r="A17" s="748">
        <v>13</v>
      </c>
      <c r="B17" s="24">
        <v>44</v>
      </c>
      <c r="C17" s="25" t="s">
        <v>18</v>
      </c>
      <c r="D17" s="69">
        <f>27500</f>
        <v>27500</v>
      </c>
      <c r="E17" s="68">
        <v>0.5</v>
      </c>
      <c r="F17" s="12"/>
      <c r="G17" s="15"/>
      <c r="H17" s="61">
        <f t="shared" si="12"/>
        <v>0.5</v>
      </c>
      <c r="I17" s="66">
        <f t="shared" si="13"/>
        <v>0</v>
      </c>
      <c r="J17" s="16">
        <f t="shared" si="13"/>
        <v>0</v>
      </c>
      <c r="K17" s="410">
        <f t="shared" si="14"/>
        <v>27500</v>
      </c>
      <c r="L17" s="1011" t="s">
        <v>509</v>
      </c>
      <c r="M17" s="1011" t="s">
        <v>502</v>
      </c>
      <c r="N17" s="129">
        <f>1428.57+42424.48</f>
        <v>43853.05</v>
      </c>
      <c r="O17" s="68">
        <v>0.5</v>
      </c>
      <c r="P17" s="15"/>
      <c r="Q17" s="16">
        <f t="shared" si="36"/>
        <v>0</v>
      </c>
      <c r="R17" s="1003">
        <f t="shared" si="15"/>
        <v>0</v>
      </c>
      <c r="S17" s="129">
        <v>30000</v>
      </c>
      <c r="T17" s="68">
        <v>0.5</v>
      </c>
      <c r="U17" s="15"/>
      <c r="V17" s="16">
        <f t="shared" si="37"/>
        <v>0</v>
      </c>
      <c r="W17" s="1003">
        <f t="shared" si="16"/>
        <v>0</v>
      </c>
      <c r="X17" s="129">
        <v>30000</v>
      </c>
      <c r="Y17" s="68">
        <v>0.5</v>
      </c>
      <c r="Z17" s="15"/>
      <c r="AA17" s="16">
        <f t="shared" si="38"/>
        <v>0</v>
      </c>
      <c r="AB17" s="1003">
        <f t="shared" si="17"/>
        <v>0</v>
      </c>
      <c r="AC17" s="129">
        <v>30000</v>
      </c>
      <c r="AD17" s="68">
        <v>0.5</v>
      </c>
      <c r="AE17" s="15">
        <v>0.5</v>
      </c>
      <c r="AF17" s="16">
        <f t="shared" ref="AF17:AF28" si="42">IF($AD17&lt;&gt;0,AE17*$AC17/$AD17,0)</f>
        <v>30000</v>
      </c>
      <c r="AG17" s="1003">
        <f t="shared" si="18"/>
        <v>9060</v>
      </c>
      <c r="AH17" s="129">
        <v>30000</v>
      </c>
      <c r="AI17" s="68">
        <v>0.5</v>
      </c>
      <c r="AJ17" s="15">
        <v>0.25</v>
      </c>
      <c r="AK17" s="16">
        <f t="shared" si="28"/>
        <v>15000</v>
      </c>
      <c r="AL17" s="1003">
        <f t="shared" si="19"/>
        <v>4530</v>
      </c>
      <c r="AM17" s="129">
        <v>30000</v>
      </c>
      <c r="AN17" s="68">
        <v>0.5</v>
      </c>
      <c r="AO17" s="15">
        <v>0.5</v>
      </c>
      <c r="AP17" s="16">
        <f t="shared" si="39"/>
        <v>30000</v>
      </c>
      <c r="AQ17" s="1003">
        <f t="shared" si="20"/>
        <v>9060</v>
      </c>
      <c r="AR17" s="617">
        <v>30000</v>
      </c>
      <c r="AS17" s="619">
        <v>0.5</v>
      </c>
      <c r="AT17" s="15"/>
      <c r="AU17" s="16">
        <f t="shared" si="40"/>
        <v>0</v>
      </c>
      <c r="AV17" s="1003">
        <f t="shared" si="21"/>
        <v>0</v>
      </c>
      <c r="AW17" s="617">
        <v>30000</v>
      </c>
      <c r="AX17" s="619">
        <v>0.5</v>
      </c>
      <c r="AY17" s="15"/>
      <c r="AZ17" s="16">
        <f t="shared" si="32"/>
        <v>0</v>
      </c>
      <c r="BA17" s="1003">
        <f t="shared" si="22"/>
        <v>0</v>
      </c>
      <c r="BB17" s="131">
        <v>30000</v>
      </c>
      <c r="BC17" s="133">
        <v>0.5</v>
      </c>
      <c r="BD17" s="15"/>
      <c r="BE17" s="16">
        <f t="shared" si="33"/>
        <v>0</v>
      </c>
      <c r="BF17" s="1003">
        <f t="shared" si="23"/>
        <v>0</v>
      </c>
      <c r="BG17" s="131">
        <v>30000</v>
      </c>
      <c r="BH17" s="133">
        <v>0.5</v>
      </c>
      <c r="BI17" s="15"/>
      <c r="BJ17" s="16">
        <f t="shared" si="34"/>
        <v>0</v>
      </c>
      <c r="BK17" s="1003">
        <f t="shared" si="24"/>
        <v>0</v>
      </c>
      <c r="BL17" s="131">
        <v>30000</v>
      </c>
      <c r="BM17" s="133">
        <v>0.5</v>
      </c>
      <c r="BN17" s="15"/>
      <c r="BO17" s="16">
        <f t="shared" si="35"/>
        <v>0</v>
      </c>
      <c r="BP17" s="1006">
        <f t="shared" si="25"/>
        <v>0</v>
      </c>
      <c r="BQ17" s="885">
        <f t="shared" si="41"/>
        <v>1.25</v>
      </c>
    </row>
    <row r="18" spans="1:70" hidden="1" x14ac:dyDescent="0.2">
      <c r="B18" s="24">
        <v>45</v>
      </c>
      <c r="C18" s="25" t="s">
        <v>19</v>
      </c>
      <c r="D18" s="26">
        <v>25000</v>
      </c>
      <c r="E18" s="68">
        <v>1</v>
      </c>
      <c r="F18" s="12"/>
      <c r="G18" s="15"/>
      <c r="H18" s="61">
        <f t="shared" si="12"/>
        <v>1</v>
      </c>
      <c r="I18" s="66">
        <f t="shared" si="13"/>
        <v>0</v>
      </c>
      <c r="J18" s="16">
        <f t="shared" si="13"/>
        <v>0</v>
      </c>
      <c r="K18" s="59">
        <f t="shared" si="14"/>
        <v>25000</v>
      </c>
      <c r="L18" s="1010"/>
      <c r="M18" s="1010"/>
      <c r="N18" s="129">
        <f>1428.57+24272.08</f>
        <v>25700.65</v>
      </c>
      <c r="O18" s="68">
        <v>1</v>
      </c>
      <c r="P18" s="15"/>
      <c r="Q18" s="16">
        <f t="shared" si="36"/>
        <v>0</v>
      </c>
      <c r="R18" s="1004">
        <f>SUM(R5:R17)</f>
        <v>13858.38</v>
      </c>
      <c r="S18" s="129">
        <v>30000</v>
      </c>
      <c r="T18" s="68">
        <v>1</v>
      </c>
      <c r="U18" s="15"/>
      <c r="V18" s="16">
        <f t="shared" si="37"/>
        <v>0</v>
      </c>
      <c r="W18" s="1004">
        <f>SUM(W5:W17)</f>
        <v>27518.73</v>
      </c>
      <c r="X18" s="129">
        <v>30000</v>
      </c>
      <c r="Y18" s="68">
        <v>1</v>
      </c>
      <c r="Z18" s="15"/>
      <c r="AA18" s="16">
        <f t="shared" si="38"/>
        <v>0</v>
      </c>
      <c r="AB18" s="1004"/>
      <c r="AC18" s="129">
        <v>30000</v>
      </c>
      <c r="AD18" s="68">
        <v>1</v>
      </c>
      <c r="AE18" s="15"/>
      <c r="AF18" s="16">
        <f t="shared" si="42"/>
        <v>0</v>
      </c>
      <c r="AG18" s="1004">
        <f>SUM(AG5:AG17)</f>
        <v>41161.199999999997</v>
      </c>
      <c r="AH18" s="129">
        <v>30000</v>
      </c>
      <c r="AI18" s="68">
        <v>1</v>
      </c>
      <c r="AJ18" s="15"/>
      <c r="AK18" s="16">
        <f t="shared" si="28"/>
        <v>0</v>
      </c>
      <c r="AL18" s="1004"/>
      <c r="AM18" s="129">
        <v>30000</v>
      </c>
      <c r="AN18" s="68">
        <v>1</v>
      </c>
      <c r="AO18" s="15"/>
      <c r="AP18" s="16">
        <f t="shared" si="39"/>
        <v>0</v>
      </c>
      <c r="AQ18" s="1004"/>
      <c r="AR18" s="617">
        <v>30000</v>
      </c>
      <c r="AS18" s="619">
        <v>1</v>
      </c>
      <c r="AT18" s="15"/>
      <c r="AU18" s="16">
        <f t="shared" si="40"/>
        <v>0</v>
      </c>
      <c r="AV18" s="1004"/>
      <c r="AW18" s="617">
        <v>30000</v>
      </c>
      <c r="AX18" s="619">
        <v>1</v>
      </c>
      <c r="AY18" s="15"/>
      <c r="AZ18" s="16">
        <f t="shared" si="32"/>
        <v>0</v>
      </c>
      <c r="BA18" s="1004"/>
      <c r="BB18" s="131">
        <v>30000</v>
      </c>
      <c r="BC18" s="133">
        <v>1</v>
      </c>
      <c r="BD18" s="15"/>
      <c r="BE18" s="16">
        <f t="shared" si="33"/>
        <v>0</v>
      </c>
      <c r="BF18" s="1004"/>
      <c r="BG18" s="131">
        <v>30000</v>
      </c>
      <c r="BH18" s="133">
        <v>1</v>
      </c>
      <c r="BI18" s="15"/>
      <c r="BJ18" s="16">
        <f t="shared" si="34"/>
        <v>0</v>
      </c>
      <c r="BK18" s="1004">
        <f>SUM(BK5:BK17)</f>
        <v>23313.5</v>
      </c>
      <c r="BL18" s="131">
        <v>30000</v>
      </c>
      <c r="BM18" s="133">
        <v>1</v>
      </c>
      <c r="BN18" s="15"/>
      <c r="BO18" s="16">
        <f t="shared" si="35"/>
        <v>0</v>
      </c>
      <c r="BP18" s="1006"/>
      <c r="BQ18" s="884">
        <f t="shared" si="41"/>
        <v>0</v>
      </c>
    </row>
    <row r="19" spans="1:70" hidden="1" x14ac:dyDescent="0.2">
      <c r="B19" s="24">
        <v>46</v>
      </c>
      <c r="C19" s="25" t="s">
        <v>20</v>
      </c>
      <c r="D19" s="69">
        <v>27000</v>
      </c>
      <c r="E19" s="68">
        <v>1</v>
      </c>
      <c r="F19" s="12"/>
      <c r="G19" s="15"/>
      <c r="H19" s="61">
        <f t="shared" si="12"/>
        <v>1</v>
      </c>
      <c r="I19" s="66">
        <f t="shared" si="13"/>
        <v>0</v>
      </c>
      <c r="J19" s="16">
        <f t="shared" si="13"/>
        <v>0</v>
      </c>
      <c r="K19" s="59">
        <f t="shared" si="14"/>
        <v>27000</v>
      </c>
      <c r="L19" s="1010"/>
      <c r="M19" s="1010"/>
      <c r="N19" s="69">
        <v>50000</v>
      </c>
      <c r="O19" s="68">
        <v>1</v>
      </c>
      <c r="P19" s="15"/>
      <c r="Q19" s="16">
        <f t="shared" si="36"/>
        <v>0</v>
      </c>
      <c r="R19" s="15"/>
      <c r="S19" s="69">
        <v>50000</v>
      </c>
      <c r="T19" s="68">
        <v>1</v>
      </c>
      <c r="U19" s="15"/>
      <c r="V19" s="16">
        <f t="shared" si="37"/>
        <v>0</v>
      </c>
      <c r="W19" s="15"/>
      <c r="X19" s="69">
        <v>50000</v>
      </c>
      <c r="Y19" s="68">
        <v>1</v>
      </c>
      <c r="Z19" s="15"/>
      <c r="AA19" s="16">
        <f t="shared" si="38"/>
        <v>0</v>
      </c>
      <c r="AB19" s="15"/>
      <c r="AC19" s="69">
        <v>50000</v>
      </c>
      <c r="AD19" s="68">
        <v>1</v>
      </c>
      <c r="AE19" s="15"/>
      <c r="AF19" s="16">
        <f t="shared" si="42"/>
        <v>0</v>
      </c>
      <c r="AG19" s="15"/>
      <c r="AH19" s="69">
        <v>50000</v>
      </c>
      <c r="AI19" s="68">
        <v>1</v>
      </c>
      <c r="AJ19" s="15"/>
      <c r="AK19" s="16">
        <f t="shared" si="28"/>
        <v>0</v>
      </c>
      <c r="AL19" s="15"/>
      <c r="AM19" s="69">
        <v>50000</v>
      </c>
      <c r="AN19" s="68">
        <v>1</v>
      </c>
      <c r="AO19" s="15"/>
      <c r="AP19" s="16">
        <f t="shared" si="39"/>
        <v>0</v>
      </c>
      <c r="AQ19" s="15"/>
      <c r="AR19" s="620">
        <v>42099.82</v>
      </c>
      <c r="AS19" s="619">
        <v>0.97</v>
      </c>
      <c r="AT19" s="15"/>
      <c r="AU19" s="16">
        <f t="shared" si="40"/>
        <v>0</v>
      </c>
      <c r="AV19" s="15"/>
      <c r="AW19" s="620">
        <v>43838.95</v>
      </c>
      <c r="AX19" s="619">
        <v>0.81</v>
      </c>
      <c r="AY19" s="15"/>
      <c r="AZ19" s="16">
        <f t="shared" si="32"/>
        <v>0</v>
      </c>
      <c r="BA19" s="15"/>
      <c r="BB19" s="134">
        <v>60000</v>
      </c>
      <c r="BC19" s="133">
        <v>1</v>
      </c>
      <c r="BD19" s="15"/>
      <c r="BE19" s="16">
        <f t="shared" si="33"/>
        <v>0</v>
      </c>
      <c r="BF19" s="15"/>
      <c r="BG19" s="134">
        <v>60000</v>
      </c>
      <c r="BH19" s="133">
        <v>1</v>
      </c>
      <c r="BI19" s="15"/>
      <c r="BJ19" s="16">
        <f t="shared" si="34"/>
        <v>0</v>
      </c>
      <c r="BK19" s="15"/>
      <c r="BL19" s="134">
        <v>60000</v>
      </c>
      <c r="BM19" s="133">
        <v>1</v>
      </c>
      <c r="BN19" s="15"/>
      <c r="BO19" s="16">
        <f t="shared" si="35"/>
        <v>0</v>
      </c>
      <c r="BP19" s="1006"/>
      <c r="BQ19" s="884">
        <f t="shared" si="41"/>
        <v>0</v>
      </c>
    </row>
    <row r="20" spans="1:70" hidden="1" x14ac:dyDescent="0.2">
      <c r="B20" s="24"/>
      <c r="C20" s="137" t="s">
        <v>33</v>
      </c>
      <c r="D20" s="26"/>
      <c r="E20" s="68"/>
      <c r="F20" s="12"/>
      <c r="G20" s="15"/>
      <c r="H20" s="61">
        <f t="shared" si="12"/>
        <v>0</v>
      </c>
      <c r="I20" s="66">
        <f t="shared" si="13"/>
        <v>0</v>
      </c>
      <c r="J20" s="16">
        <f t="shared" si="13"/>
        <v>0</v>
      </c>
      <c r="K20" s="59">
        <f t="shared" si="14"/>
        <v>0</v>
      </c>
      <c r="L20" s="410"/>
      <c r="M20" s="410"/>
      <c r="N20" s="26"/>
      <c r="O20" s="68"/>
      <c r="P20" s="15"/>
      <c r="Q20" s="16">
        <f t="shared" ref="Q20:Q28" si="43">IF($O20&lt;&gt;0,P20*$N20/$O20,0)</f>
        <v>0</v>
      </c>
      <c r="R20" s="1004"/>
      <c r="S20" s="26"/>
      <c r="T20" s="68"/>
      <c r="U20" s="15"/>
      <c r="V20" s="16">
        <f t="shared" ref="V20:V28" si="44">IF($T20&lt;&gt;0,U20*$S20/$T20,0)</f>
        <v>0</v>
      </c>
      <c r="W20" s="1004"/>
      <c r="X20" s="26"/>
      <c r="Y20" s="68"/>
      <c r="Z20" s="15"/>
      <c r="AA20" s="16">
        <f t="shared" si="38"/>
        <v>0</v>
      </c>
      <c r="AB20" s="1004"/>
      <c r="AC20" s="26"/>
      <c r="AD20" s="68"/>
      <c r="AE20" s="15"/>
      <c r="AF20" s="16">
        <f t="shared" si="42"/>
        <v>0</v>
      </c>
      <c r="AG20" s="1004"/>
      <c r="AH20" s="26"/>
      <c r="AI20" s="68"/>
      <c r="AJ20" s="15"/>
      <c r="AK20" s="16">
        <f t="shared" si="28"/>
        <v>0</v>
      </c>
      <c r="AL20" s="1004"/>
      <c r="AM20" s="26"/>
      <c r="AN20" s="68"/>
      <c r="AO20" s="15"/>
      <c r="AP20" s="16">
        <f t="shared" si="39"/>
        <v>0</v>
      </c>
      <c r="AQ20" s="1004"/>
      <c r="AR20" s="621"/>
      <c r="AS20" s="619"/>
      <c r="AT20" s="15"/>
      <c r="AU20" s="16">
        <f t="shared" si="40"/>
        <v>0</v>
      </c>
      <c r="AV20" s="1004"/>
      <c r="AW20" s="621"/>
      <c r="AX20" s="619"/>
      <c r="AY20" s="15"/>
      <c r="AZ20" s="16">
        <f t="shared" si="32"/>
        <v>0</v>
      </c>
      <c r="BA20" s="1004"/>
      <c r="BB20" s="135"/>
      <c r="BC20" s="133"/>
      <c r="BD20" s="15"/>
      <c r="BE20" s="16">
        <f t="shared" si="33"/>
        <v>0</v>
      </c>
      <c r="BF20" s="1004"/>
      <c r="BG20" s="135"/>
      <c r="BH20" s="133"/>
      <c r="BI20" s="15"/>
      <c r="BJ20" s="16">
        <f t="shared" si="34"/>
        <v>0</v>
      </c>
      <c r="BK20" s="1004"/>
      <c r="BL20" s="135"/>
      <c r="BM20" s="133"/>
      <c r="BN20" s="15"/>
      <c r="BO20" s="16">
        <f t="shared" si="35"/>
        <v>0</v>
      </c>
      <c r="BP20" s="1006"/>
      <c r="BQ20" s="884">
        <f t="shared" si="41"/>
        <v>0</v>
      </c>
    </row>
    <row r="21" spans="1:70" hidden="1" x14ac:dyDescent="0.2">
      <c r="B21" s="24">
        <v>47</v>
      </c>
      <c r="C21" s="70" t="s">
        <v>45</v>
      </c>
      <c r="D21" s="69">
        <v>25000</v>
      </c>
      <c r="E21" s="68">
        <v>0.5</v>
      </c>
      <c r="F21" s="12"/>
      <c r="G21" s="15"/>
      <c r="H21" s="61">
        <f t="shared" si="12"/>
        <v>0.5</v>
      </c>
      <c r="I21" s="66">
        <f t="shared" si="13"/>
        <v>0</v>
      </c>
      <c r="J21" s="16">
        <f t="shared" si="13"/>
        <v>0</v>
      </c>
      <c r="K21" s="59">
        <f t="shared" si="14"/>
        <v>25000</v>
      </c>
      <c r="L21" s="1010"/>
      <c r="M21" s="1010"/>
      <c r="N21" s="129">
        <f>1428.57+24242.4</f>
        <v>25670.97</v>
      </c>
      <c r="O21" s="68">
        <v>0.5</v>
      </c>
      <c r="P21" s="15"/>
      <c r="Q21" s="16">
        <f t="shared" si="43"/>
        <v>0</v>
      </c>
      <c r="R21" s="1004"/>
      <c r="S21" s="129">
        <v>30000</v>
      </c>
      <c r="T21" s="68">
        <v>0.5</v>
      </c>
      <c r="U21" s="15"/>
      <c r="V21" s="16">
        <f t="shared" si="44"/>
        <v>0</v>
      </c>
      <c r="W21" s="1004"/>
      <c r="X21" s="129">
        <v>30000</v>
      </c>
      <c r="Y21" s="68">
        <v>0.5</v>
      </c>
      <c r="Z21" s="15"/>
      <c r="AA21" s="16">
        <f t="shared" si="38"/>
        <v>0</v>
      </c>
      <c r="AB21" s="1004"/>
      <c r="AC21" s="129">
        <v>30000</v>
      </c>
      <c r="AD21" s="68">
        <v>0.5</v>
      </c>
      <c r="AE21" s="15"/>
      <c r="AF21" s="16">
        <f t="shared" si="42"/>
        <v>0</v>
      </c>
      <c r="AG21" s="1004"/>
      <c r="AH21" s="129">
        <v>30000</v>
      </c>
      <c r="AI21" s="68">
        <v>0.5</v>
      </c>
      <c r="AJ21" s="15"/>
      <c r="AK21" s="16">
        <f t="shared" si="28"/>
        <v>0</v>
      </c>
      <c r="AL21" s="1004"/>
      <c r="AM21" s="129">
        <v>30000</v>
      </c>
      <c r="AN21" s="68">
        <v>0.5</v>
      </c>
      <c r="AO21" s="15"/>
      <c r="AP21" s="16">
        <f t="shared" si="39"/>
        <v>0</v>
      </c>
      <c r="AQ21" s="1004"/>
      <c r="AR21" s="617">
        <v>30000</v>
      </c>
      <c r="AS21" s="619">
        <v>0.5</v>
      </c>
      <c r="AT21" s="15"/>
      <c r="AU21" s="16">
        <f t="shared" si="40"/>
        <v>0</v>
      </c>
      <c r="AV21" s="1004"/>
      <c r="AW21" s="617">
        <v>30000</v>
      </c>
      <c r="AX21" s="619">
        <v>0.5</v>
      </c>
      <c r="AY21" s="15"/>
      <c r="AZ21" s="16">
        <f t="shared" si="32"/>
        <v>0</v>
      </c>
      <c r="BA21" s="1004"/>
      <c r="BB21" s="131">
        <v>30000</v>
      </c>
      <c r="BC21" s="133">
        <v>0.5</v>
      </c>
      <c r="BD21" s="15"/>
      <c r="BE21" s="16">
        <f t="shared" si="33"/>
        <v>0</v>
      </c>
      <c r="BF21" s="1004"/>
      <c r="BG21" s="131">
        <v>30000</v>
      </c>
      <c r="BH21" s="133">
        <v>0.5</v>
      </c>
      <c r="BI21" s="15"/>
      <c r="BJ21" s="16">
        <f t="shared" si="34"/>
        <v>0</v>
      </c>
      <c r="BK21" s="1004"/>
      <c r="BL21" s="131">
        <v>30000</v>
      </c>
      <c r="BM21" s="133">
        <v>0.5</v>
      </c>
      <c r="BN21" s="15"/>
      <c r="BO21" s="16">
        <f t="shared" si="35"/>
        <v>0</v>
      </c>
      <c r="BP21" s="1006"/>
      <c r="BQ21" s="884">
        <f t="shared" si="41"/>
        <v>0</v>
      </c>
    </row>
    <row r="22" spans="1:70" hidden="1" x14ac:dyDescent="0.2">
      <c r="B22" s="24">
        <v>48</v>
      </c>
      <c r="C22" s="25" t="s">
        <v>67</v>
      </c>
      <c r="D22" s="69">
        <v>49500</v>
      </c>
      <c r="E22" s="68">
        <v>1</v>
      </c>
      <c r="F22" s="12"/>
      <c r="G22" s="15"/>
      <c r="H22" s="61">
        <f t="shared" si="12"/>
        <v>1</v>
      </c>
      <c r="I22" s="66">
        <f t="shared" si="13"/>
        <v>0</v>
      </c>
      <c r="J22" s="16">
        <f t="shared" si="13"/>
        <v>0</v>
      </c>
      <c r="K22" s="59">
        <f t="shared" si="14"/>
        <v>49500</v>
      </c>
      <c r="L22" s="1010"/>
      <c r="M22" s="1010"/>
      <c r="N22" s="69">
        <f>45000*1.2*1.1</f>
        <v>59400</v>
      </c>
      <c r="O22" s="68">
        <v>1</v>
      </c>
      <c r="P22" s="15"/>
      <c r="Q22" s="16">
        <f t="shared" si="43"/>
        <v>0</v>
      </c>
      <c r="R22" s="15"/>
      <c r="S22" s="69">
        <f>45000*1.2*1.1</f>
        <v>59400</v>
      </c>
      <c r="T22" s="68">
        <v>1</v>
      </c>
      <c r="U22" s="15"/>
      <c r="V22" s="16">
        <f t="shared" si="44"/>
        <v>0</v>
      </c>
      <c r="W22" s="15"/>
      <c r="X22" s="69">
        <f>45000*1.2*1.1</f>
        <v>59400</v>
      </c>
      <c r="Y22" s="68">
        <v>1</v>
      </c>
      <c r="Z22" s="15"/>
      <c r="AA22" s="16">
        <f t="shared" si="38"/>
        <v>0</v>
      </c>
      <c r="AB22" s="15"/>
      <c r="AC22" s="69">
        <f>45000*1.2*1.1</f>
        <v>59400</v>
      </c>
      <c r="AD22" s="68">
        <v>1</v>
      </c>
      <c r="AE22" s="15"/>
      <c r="AF22" s="16">
        <f t="shared" si="42"/>
        <v>0</v>
      </c>
      <c r="AG22" s="15"/>
      <c r="AH22" s="69">
        <f>45000*1.2*1.1</f>
        <v>59400</v>
      </c>
      <c r="AI22" s="68">
        <v>1</v>
      </c>
      <c r="AJ22" s="15"/>
      <c r="AK22" s="16">
        <f t="shared" ref="AK22:AK28" si="45">IF($AI22&lt;&gt;0,AJ22*$AH22/$AI22,0)</f>
        <v>0</v>
      </c>
      <c r="AL22" s="15"/>
      <c r="AM22" s="69">
        <f>45000*1.2*1.1</f>
        <v>59400</v>
      </c>
      <c r="AN22" s="68">
        <v>1</v>
      </c>
      <c r="AO22" s="15"/>
      <c r="AP22" s="16">
        <f t="shared" si="39"/>
        <v>0</v>
      </c>
      <c r="AQ22" s="15"/>
      <c r="AR22" s="620">
        <f>45000*1.2*1.1</f>
        <v>59400</v>
      </c>
      <c r="AS22" s="619">
        <v>1</v>
      </c>
      <c r="AT22" s="15"/>
      <c r="AU22" s="16">
        <f t="shared" si="40"/>
        <v>0</v>
      </c>
      <c r="AV22" s="15"/>
      <c r="AW22" s="620">
        <v>67045.95</v>
      </c>
      <c r="AX22" s="619">
        <v>1</v>
      </c>
      <c r="AY22" s="15"/>
      <c r="AZ22" s="16">
        <f t="shared" si="32"/>
        <v>0</v>
      </c>
      <c r="BA22" s="15"/>
      <c r="BB22" s="134">
        <f>45000*1.2*1.1</f>
        <v>59400</v>
      </c>
      <c r="BC22" s="133">
        <v>1</v>
      </c>
      <c r="BD22" s="15"/>
      <c r="BE22" s="16">
        <f t="shared" si="33"/>
        <v>0</v>
      </c>
      <c r="BF22" s="15"/>
      <c r="BG22" s="134">
        <f>45000*1.2*1.1</f>
        <v>59400</v>
      </c>
      <c r="BH22" s="133">
        <v>1</v>
      </c>
      <c r="BI22" s="15"/>
      <c r="BJ22" s="16">
        <f t="shared" si="34"/>
        <v>0</v>
      </c>
      <c r="BK22" s="15"/>
      <c r="BL22" s="134">
        <f>45000*1.2*1.1</f>
        <v>59400</v>
      </c>
      <c r="BM22" s="133">
        <v>1</v>
      </c>
      <c r="BN22" s="15"/>
      <c r="BO22" s="16">
        <f t="shared" si="35"/>
        <v>0</v>
      </c>
      <c r="BP22" s="1006"/>
      <c r="BQ22" s="884">
        <f t="shared" si="41"/>
        <v>0</v>
      </c>
    </row>
    <row r="23" spans="1:70" hidden="1" x14ac:dyDescent="0.2">
      <c r="B23" s="24"/>
      <c r="C23" s="137" t="s">
        <v>77</v>
      </c>
      <c r="D23" s="69">
        <v>20000</v>
      </c>
      <c r="E23" s="68">
        <v>1</v>
      </c>
      <c r="F23" s="12"/>
      <c r="G23" s="15"/>
      <c r="H23" s="61">
        <f t="shared" si="12"/>
        <v>1</v>
      </c>
      <c r="I23" s="66">
        <f t="shared" si="13"/>
        <v>0</v>
      </c>
      <c r="J23" s="16">
        <f t="shared" si="13"/>
        <v>0</v>
      </c>
      <c r="K23" s="59">
        <f t="shared" si="14"/>
        <v>20000</v>
      </c>
      <c r="L23" s="1010"/>
      <c r="M23" s="1010"/>
      <c r="N23" s="129">
        <f>3571.43+5205.97</f>
        <v>8777.4</v>
      </c>
      <c r="O23" s="68">
        <f>5/31</f>
        <v>0.16</v>
      </c>
      <c r="P23" s="15"/>
      <c r="Q23" s="16">
        <f t="shared" si="43"/>
        <v>0</v>
      </c>
      <c r="R23" s="1004"/>
      <c r="S23" s="129"/>
      <c r="T23" s="68"/>
      <c r="U23" s="15"/>
      <c r="V23" s="16">
        <f t="shared" si="44"/>
        <v>0</v>
      </c>
      <c r="W23" s="1004"/>
      <c r="X23" s="129"/>
      <c r="Y23" s="68"/>
      <c r="Z23" s="15"/>
      <c r="AA23" s="16">
        <f t="shared" si="38"/>
        <v>0</v>
      </c>
      <c r="AB23" s="1004"/>
      <c r="AC23" s="129"/>
      <c r="AD23" s="68"/>
      <c r="AE23" s="15"/>
      <c r="AF23" s="16">
        <f t="shared" si="42"/>
        <v>0</v>
      </c>
      <c r="AG23" s="1004"/>
      <c r="AH23" s="129"/>
      <c r="AI23" s="68"/>
      <c r="AJ23" s="15"/>
      <c r="AK23" s="16">
        <f t="shared" si="45"/>
        <v>0</v>
      </c>
      <c r="AL23" s="1004"/>
      <c r="AM23" s="129"/>
      <c r="AN23" s="68"/>
      <c r="AO23" s="15"/>
      <c r="AP23" s="16">
        <f t="shared" si="39"/>
        <v>0</v>
      </c>
      <c r="AQ23" s="1004"/>
      <c r="AR23" s="617"/>
      <c r="AS23" s="619"/>
      <c r="AT23" s="15"/>
      <c r="AU23" s="16">
        <f t="shared" si="40"/>
        <v>0</v>
      </c>
      <c r="AV23" s="1004"/>
      <c r="AW23" s="617"/>
      <c r="AX23" s="619"/>
      <c r="AY23" s="15"/>
      <c r="AZ23" s="16">
        <f t="shared" si="32"/>
        <v>0</v>
      </c>
      <c r="BA23" s="1004"/>
      <c r="BB23" s="131"/>
      <c r="BC23" s="133"/>
      <c r="BD23" s="15"/>
      <c r="BE23" s="16">
        <f t="shared" si="33"/>
        <v>0</v>
      </c>
      <c r="BF23" s="1004"/>
      <c r="BG23" s="131"/>
      <c r="BH23" s="133"/>
      <c r="BI23" s="15"/>
      <c r="BJ23" s="16">
        <f t="shared" si="34"/>
        <v>0</v>
      </c>
      <c r="BK23" s="1004"/>
      <c r="BL23" s="131"/>
      <c r="BM23" s="133"/>
      <c r="BN23" s="15"/>
      <c r="BO23" s="16">
        <f t="shared" si="35"/>
        <v>0</v>
      </c>
      <c r="BP23" s="1006"/>
      <c r="BQ23" s="884">
        <f t="shared" si="41"/>
        <v>0</v>
      </c>
    </row>
    <row r="24" spans="1:70" hidden="1" x14ac:dyDescent="0.2">
      <c r="B24" s="24"/>
      <c r="C24" s="137" t="s">
        <v>34</v>
      </c>
      <c r="D24" s="26"/>
      <c r="E24" s="68"/>
      <c r="F24" s="12"/>
      <c r="G24" s="15"/>
      <c r="H24" s="61">
        <f t="shared" si="12"/>
        <v>0</v>
      </c>
      <c r="I24" s="66">
        <f t="shared" si="13"/>
        <v>0</v>
      </c>
      <c r="J24" s="16">
        <f t="shared" si="13"/>
        <v>0</v>
      </c>
      <c r="K24" s="59">
        <f t="shared" si="14"/>
        <v>0</v>
      </c>
      <c r="L24" s="410"/>
      <c r="M24" s="410"/>
      <c r="N24" s="26"/>
      <c r="O24" s="68"/>
      <c r="P24" s="15"/>
      <c r="Q24" s="16">
        <f t="shared" si="43"/>
        <v>0</v>
      </c>
      <c r="R24" s="1004"/>
      <c r="S24" s="26"/>
      <c r="T24" s="68"/>
      <c r="U24" s="15"/>
      <c r="V24" s="16">
        <f t="shared" si="44"/>
        <v>0</v>
      </c>
      <c r="W24" s="1004"/>
      <c r="X24" s="26"/>
      <c r="Y24" s="68"/>
      <c r="Z24" s="15"/>
      <c r="AA24" s="16">
        <f t="shared" si="38"/>
        <v>0</v>
      </c>
      <c r="AB24" s="1004"/>
      <c r="AC24" s="26"/>
      <c r="AD24" s="68"/>
      <c r="AE24" s="15"/>
      <c r="AF24" s="16">
        <f t="shared" si="42"/>
        <v>0</v>
      </c>
      <c r="AG24" s="1004"/>
      <c r="AH24" s="26"/>
      <c r="AI24" s="68"/>
      <c r="AJ24" s="15"/>
      <c r="AK24" s="16">
        <f t="shared" si="45"/>
        <v>0</v>
      </c>
      <c r="AL24" s="1004"/>
      <c r="AM24" s="26"/>
      <c r="AN24" s="68"/>
      <c r="AO24" s="15"/>
      <c r="AP24" s="16">
        <f t="shared" si="39"/>
        <v>0</v>
      </c>
      <c r="AQ24" s="1004"/>
      <c r="AR24" s="621"/>
      <c r="AS24" s="619"/>
      <c r="AT24" s="15"/>
      <c r="AU24" s="16">
        <f t="shared" si="40"/>
        <v>0</v>
      </c>
      <c r="AV24" s="1004"/>
      <c r="AW24" s="621"/>
      <c r="AX24" s="619"/>
      <c r="AY24" s="15"/>
      <c r="AZ24" s="16">
        <f t="shared" si="32"/>
        <v>0</v>
      </c>
      <c r="BA24" s="1004"/>
      <c r="BB24" s="135"/>
      <c r="BC24" s="133"/>
      <c r="BD24" s="15"/>
      <c r="BE24" s="16">
        <f t="shared" si="33"/>
        <v>0</v>
      </c>
      <c r="BF24" s="1004"/>
      <c r="BG24" s="135"/>
      <c r="BH24" s="133"/>
      <c r="BI24" s="15"/>
      <c r="BJ24" s="16">
        <f t="shared" si="34"/>
        <v>0</v>
      </c>
      <c r="BK24" s="1004"/>
      <c r="BL24" s="135"/>
      <c r="BM24" s="133"/>
      <c r="BN24" s="15"/>
      <c r="BO24" s="16">
        <f t="shared" si="35"/>
        <v>0</v>
      </c>
      <c r="BP24" s="1006"/>
      <c r="BQ24" s="884">
        <f t="shared" si="41"/>
        <v>0</v>
      </c>
    </row>
    <row r="25" spans="1:70" hidden="1" x14ac:dyDescent="0.2">
      <c r="B25" s="24">
        <v>49</v>
      </c>
      <c r="C25" s="70" t="s">
        <v>40</v>
      </c>
      <c r="D25" s="69">
        <v>27500</v>
      </c>
      <c r="E25" s="68">
        <v>0.5</v>
      </c>
      <c r="F25" s="12"/>
      <c r="G25" s="15"/>
      <c r="H25" s="61">
        <f t="shared" si="12"/>
        <v>0.5</v>
      </c>
      <c r="I25" s="66">
        <f t="shared" si="13"/>
        <v>0</v>
      </c>
      <c r="J25" s="16">
        <f t="shared" si="13"/>
        <v>0</v>
      </c>
      <c r="K25" s="59">
        <f t="shared" si="14"/>
        <v>27500</v>
      </c>
      <c r="L25" s="1010"/>
      <c r="M25" s="1010"/>
      <c r="N25" s="129">
        <f>1666.67+26839.96</f>
        <v>28506.63</v>
      </c>
      <c r="O25" s="68">
        <v>0.5</v>
      </c>
      <c r="P25" s="15"/>
      <c r="Q25" s="16">
        <f t="shared" si="43"/>
        <v>0</v>
      </c>
      <c r="R25" s="1004"/>
      <c r="S25" s="129">
        <v>35000</v>
      </c>
      <c r="T25" s="68">
        <v>0.5</v>
      </c>
      <c r="U25" s="15"/>
      <c r="V25" s="16">
        <f t="shared" si="44"/>
        <v>0</v>
      </c>
      <c r="W25" s="1004"/>
      <c r="X25" s="129">
        <v>35000</v>
      </c>
      <c r="Y25" s="68">
        <v>0.5</v>
      </c>
      <c r="Z25" s="15"/>
      <c r="AA25" s="16">
        <f t="shared" si="38"/>
        <v>0</v>
      </c>
      <c r="AB25" s="1004"/>
      <c r="AC25" s="129">
        <v>35000</v>
      </c>
      <c r="AD25" s="68">
        <v>0.5</v>
      </c>
      <c r="AE25" s="15"/>
      <c r="AF25" s="16">
        <f t="shared" si="42"/>
        <v>0</v>
      </c>
      <c r="AG25" s="1004"/>
      <c r="AH25" s="129">
        <v>35000</v>
      </c>
      <c r="AI25" s="68">
        <v>0.5</v>
      </c>
      <c r="AJ25" s="15"/>
      <c r="AK25" s="16">
        <f t="shared" si="45"/>
        <v>0</v>
      </c>
      <c r="AL25" s="1004"/>
      <c r="AM25" s="129">
        <v>35000</v>
      </c>
      <c r="AN25" s="68">
        <v>0.5</v>
      </c>
      <c r="AO25" s="15"/>
      <c r="AP25" s="16">
        <f t="shared" si="39"/>
        <v>0</v>
      </c>
      <c r="AQ25" s="1004"/>
      <c r="AR25" s="617">
        <v>35000</v>
      </c>
      <c r="AS25" s="619">
        <v>0.5</v>
      </c>
      <c r="AT25" s="15"/>
      <c r="AU25" s="16">
        <f t="shared" si="40"/>
        <v>0</v>
      </c>
      <c r="AV25" s="1004"/>
      <c r="AW25" s="617">
        <v>35000</v>
      </c>
      <c r="AX25" s="619">
        <v>0.5</v>
      </c>
      <c r="AY25" s="15"/>
      <c r="AZ25" s="16">
        <f t="shared" si="32"/>
        <v>0</v>
      </c>
      <c r="BA25" s="1004"/>
      <c r="BB25" s="131">
        <v>35000</v>
      </c>
      <c r="BC25" s="133">
        <v>0.5</v>
      </c>
      <c r="BD25" s="15"/>
      <c r="BE25" s="16">
        <f t="shared" si="33"/>
        <v>0</v>
      </c>
      <c r="BF25" s="1004"/>
      <c r="BG25" s="131">
        <v>35000</v>
      </c>
      <c r="BH25" s="133">
        <v>0.5</v>
      </c>
      <c r="BI25" s="15"/>
      <c r="BJ25" s="16">
        <f t="shared" si="34"/>
        <v>0</v>
      </c>
      <c r="BK25" s="1004"/>
      <c r="BL25" s="131">
        <v>35000</v>
      </c>
      <c r="BM25" s="133">
        <v>0.5</v>
      </c>
      <c r="BN25" s="15"/>
      <c r="BO25" s="16">
        <f t="shared" si="35"/>
        <v>0</v>
      </c>
      <c r="BP25" s="1006"/>
      <c r="BQ25" s="884">
        <f t="shared" si="41"/>
        <v>0</v>
      </c>
    </row>
    <row r="26" spans="1:70" hidden="1" x14ac:dyDescent="0.2">
      <c r="B26" s="24">
        <v>50</v>
      </c>
      <c r="C26" s="70" t="s">
        <v>39</v>
      </c>
      <c r="D26" s="69">
        <v>13500</v>
      </c>
      <c r="E26" s="68">
        <v>0.5</v>
      </c>
      <c r="F26" s="12"/>
      <c r="G26" s="15"/>
      <c r="H26" s="61">
        <f t="shared" si="12"/>
        <v>0.5</v>
      </c>
      <c r="I26" s="66">
        <f t="shared" si="13"/>
        <v>0</v>
      </c>
      <c r="J26" s="16">
        <f t="shared" si="13"/>
        <v>0</v>
      </c>
      <c r="K26" s="59">
        <f t="shared" si="14"/>
        <v>13500</v>
      </c>
      <c r="L26" s="1010"/>
      <c r="M26" s="1010"/>
      <c r="N26" s="129">
        <f>714.29+12986.96</f>
        <v>13701.25</v>
      </c>
      <c r="O26" s="68">
        <v>0.5</v>
      </c>
      <c r="P26" s="15"/>
      <c r="Q26" s="16">
        <f t="shared" si="43"/>
        <v>0</v>
      </c>
      <c r="R26" s="1004"/>
      <c r="S26" s="129">
        <v>15000</v>
      </c>
      <c r="T26" s="68">
        <v>0.5</v>
      </c>
      <c r="U26" s="15"/>
      <c r="V26" s="16">
        <f t="shared" si="44"/>
        <v>0</v>
      </c>
      <c r="W26" s="1004"/>
      <c r="X26" s="129">
        <v>15000</v>
      </c>
      <c r="Y26" s="68">
        <v>0.5</v>
      </c>
      <c r="Z26" s="15"/>
      <c r="AA26" s="16">
        <f t="shared" si="38"/>
        <v>0</v>
      </c>
      <c r="AB26" s="1004"/>
      <c r="AC26" s="129">
        <v>15000</v>
      </c>
      <c r="AD26" s="68">
        <v>0.5</v>
      </c>
      <c r="AE26" s="15"/>
      <c r="AF26" s="16">
        <f t="shared" si="42"/>
        <v>0</v>
      </c>
      <c r="AG26" s="1004"/>
      <c r="AH26" s="129">
        <v>15000</v>
      </c>
      <c r="AI26" s="68">
        <v>0.5</v>
      </c>
      <c r="AJ26" s="15"/>
      <c r="AK26" s="16">
        <f t="shared" si="45"/>
        <v>0</v>
      </c>
      <c r="AL26" s="1004"/>
      <c r="AM26" s="129">
        <v>15000</v>
      </c>
      <c r="AN26" s="68">
        <v>0.5</v>
      </c>
      <c r="AO26" s="15"/>
      <c r="AP26" s="16">
        <f t="shared" si="39"/>
        <v>0</v>
      </c>
      <c r="AQ26" s="1004"/>
      <c r="AR26" s="617">
        <v>15000</v>
      </c>
      <c r="AS26" s="619">
        <v>0.5</v>
      </c>
      <c r="AT26" s="15"/>
      <c r="AU26" s="16">
        <f t="shared" si="40"/>
        <v>0</v>
      </c>
      <c r="AV26" s="1004"/>
      <c r="AW26" s="617">
        <v>15000</v>
      </c>
      <c r="AX26" s="619">
        <v>0.5</v>
      </c>
      <c r="AY26" s="15"/>
      <c r="AZ26" s="16">
        <f t="shared" si="32"/>
        <v>0</v>
      </c>
      <c r="BA26" s="1004"/>
      <c r="BB26" s="131">
        <v>15000</v>
      </c>
      <c r="BC26" s="133">
        <v>0.5</v>
      </c>
      <c r="BD26" s="15"/>
      <c r="BE26" s="16">
        <f t="shared" si="33"/>
        <v>0</v>
      </c>
      <c r="BF26" s="1004"/>
      <c r="BG26" s="131">
        <v>15000</v>
      </c>
      <c r="BH26" s="133">
        <v>0.5</v>
      </c>
      <c r="BI26" s="15"/>
      <c r="BJ26" s="16">
        <f t="shared" si="34"/>
        <v>0</v>
      </c>
      <c r="BK26" s="1004"/>
      <c r="BL26" s="131">
        <v>15000</v>
      </c>
      <c r="BM26" s="133">
        <v>0.5</v>
      </c>
      <c r="BN26" s="15"/>
      <c r="BO26" s="16">
        <f t="shared" si="35"/>
        <v>0</v>
      </c>
      <c r="BP26" s="1006"/>
      <c r="BQ26" s="884">
        <f t="shared" si="41"/>
        <v>0</v>
      </c>
    </row>
    <row r="27" spans="1:70" hidden="1" x14ac:dyDescent="0.2">
      <c r="B27" s="24">
        <v>51</v>
      </c>
      <c r="C27" s="615" t="s">
        <v>294</v>
      </c>
      <c r="D27" s="69"/>
      <c r="E27" s="68"/>
      <c r="F27" s="12"/>
      <c r="G27" s="15"/>
      <c r="H27" s="61"/>
      <c r="I27" s="66"/>
      <c r="J27" s="16"/>
      <c r="K27" s="59"/>
      <c r="L27" s="1010"/>
      <c r="M27" s="1010"/>
      <c r="N27" s="129"/>
      <c r="O27" s="68"/>
      <c r="P27" s="15"/>
      <c r="Q27" s="16"/>
      <c r="R27" s="1004"/>
      <c r="S27" s="129"/>
      <c r="T27" s="68"/>
      <c r="U27" s="15"/>
      <c r="V27" s="16"/>
      <c r="W27" s="1004"/>
      <c r="X27" s="129"/>
      <c r="Y27" s="68"/>
      <c r="Z27" s="15"/>
      <c r="AA27" s="16"/>
      <c r="AB27" s="1004"/>
      <c r="AC27" s="129"/>
      <c r="AD27" s="68"/>
      <c r="AE27" s="15"/>
      <c r="AF27" s="16"/>
      <c r="AG27" s="1004"/>
      <c r="AH27" s="129"/>
      <c r="AI27" s="68"/>
      <c r="AJ27" s="15"/>
      <c r="AK27" s="16"/>
      <c r="AL27" s="1004"/>
      <c r="AM27" s="129"/>
      <c r="AN27" s="68"/>
      <c r="AO27" s="15"/>
      <c r="AP27" s="16"/>
      <c r="AQ27" s="1004"/>
      <c r="AR27" s="617">
        <v>66000</v>
      </c>
      <c r="AS27" s="619">
        <v>1</v>
      </c>
      <c r="AT27" s="15"/>
      <c r="AU27" s="16">
        <f t="shared" si="40"/>
        <v>0</v>
      </c>
      <c r="AV27" s="1004"/>
      <c r="AW27" s="617">
        <v>66000</v>
      </c>
      <c r="AX27" s="619">
        <v>1</v>
      </c>
      <c r="AY27" s="15"/>
      <c r="AZ27" s="16">
        <f t="shared" si="32"/>
        <v>0</v>
      </c>
      <c r="BA27" s="1004"/>
      <c r="BB27" s="131">
        <v>66000</v>
      </c>
      <c r="BC27" s="133">
        <v>1</v>
      </c>
      <c r="BD27" s="15"/>
      <c r="BE27" s="16">
        <f t="shared" si="33"/>
        <v>0</v>
      </c>
      <c r="BF27" s="1004"/>
      <c r="BG27" s="131">
        <v>66000</v>
      </c>
      <c r="BH27" s="133">
        <v>1</v>
      </c>
      <c r="BI27" s="15"/>
      <c r="BJ27" s="16">
        <f t="shared" si="34"/>
        <v>0</v>
      </c>
      <c r="BK27" s="1004"/>
      <c r="BL27" s="131">
        <v>66000</v>
      </c>
      <c r="BM27" s="133">
        <v>1</v>
      </c>
      <c r="BN27" s="15"/>
      <c r="BO27" s="16">
        <f t="shared" si="35"/>
        <v>0</v>
      </c>
      <c r="BP27" s="1006"/>
      <c r="BQ27" s="884">
        <f t="shared" si="41"/>
        <v>0</v>
      </c>
    </row>
    <row r="28" spans="1:70" hidden="1" x14ac:dyDescent="0.2">
      <c r="B28" s="24">
        <v>52</v>
      </c>
      <c r="C28" s="25" t="s">
        <v>35</v>
      </c>
      <c r="D28" s="69">
        <v>25000</v>
      </c>
      <c r="E28" s="68">
        <v>1</v>
      </c>
      <c r="F28" s="12"/>
      <c r="G28" s="15"/>
      <c r="H28" s="61">
        <f t="shared" si="12"/>
        <v>1</v>
      </c>
      <c r="I28" s="66">
        <f t="shared" si="13"/>
        <v>0</v>
      </c>
      <c r="J28" s="16">
        <f t="shared" si="13"/>
        <v>0</v>
      </c>
      <c r="K28" s="59">
        <f t="shared" si="14"/>
        <v>25000</v>
      </c>
      <c r="L28" s="1010"/>
      <c r="M28" s="1010"/>
      <c r="N28" s="69">
        <v>66000</v>
      </c>
      <c r="O28" s="68">
        <v>1</v>
      </c>
      <c r="P28" s="15"/>
      <c r="Q28" s="16">
        <f t="shared" si="43"/>
        <v>0</v>
      </c>
      <c r="R28" s="15"/>
      <c r="S28" s="69">
        <v>66000</v>
      </c>
      <c r="T28" s="68">
        <v>1</v>
      </c>
      <c r="U28" s="15"/>
      <c r="V28" s="16">
        <f t="shared" si="44"/>
        <v>0</v>
      </c>
      <c r="W28" s="15"/>
      <c r="X28" s="69">
        <v>66000</v>
      </c>
      <c r="Y28" s="68">
        <v>1</v>
      </c>
      <c r="Z28" s="15"/>
      <c r="AA28" s="16">
        <f t="shared" si="38"/>
        <v>0</v>
      </c>
      <c r="AB28" s="15"/>
      <c r="AC28" s="69">
        <v>66000</v>
      </c>
      <c r="AD28" s="68">
        <v>1</v>
      </c>
      <c r="AE28" s="15"/>
      <c r="AF28" s="16">
        <f t="shared" si="42"/>
        <v>0</v>
      </c>
      <c r="AG28" s="15"/>
      <c r="AH28" s="69">
        <v>64610.1</v>
      </c>
      <c r="AI28" s="68">
        <v>1</v>
      </c>
      <c r="AJ28" s="15"/>
      <c r="AK28" s="16">
        <f t="shared" si="45"/>
        <v>0</v>
      </c>
      <c r="AL28" s="15"/>
      <c r="AM28" s="69">
        <v>57391.3</v>
      </c>
      <c r="AN28" s="68">
        <v>1</v>
      </c>
      <c r="AO28" s="15"/>
      <c r="AP28" s="16">
        <f t="shared" si="39"/>
        <v>0</v>
      </c>
      <c r="AQ28" s="15"/>
      <c r="AR28" s="620">
        <v>66000</v>
      </c>
      <c r="AS28" s="619">
        <v>1</v>
      </c>
      <c r="AT28" s="15"/>
      <c r="AU28" s="16">
        <f t="shared" si="40"/>
        <v>0</v>
      </c>
      <c r="AV28" s="15"/>
      <c r="AW28" s="620">
        <v>77000</v>
      </c>
      <c r="AX28" s="619">
        <v>1</v>
      </c>
      <c r="AY28" s="15"/>
      <c r="AZ28" s="16">
        <f t="shared" si="32"/>
        <v>0</v>
      </c>
      <c r="BA28" s="15"/>
      <c r="BB28" s="134">
        <v>77000</v>
      </c>
      <c r="BC28" s="133">
        <v>1</v>
      </c>
      <c r="BD28" s="15"/>
      <c r="BE28" s="16">
        <f t="shared" si="33"/>
        <v>0</v>
      </c>
      <c r="BF28" s="15"/>
      <c r="BG28" s="134">
        <v>77000</v>
      </c>
      <c r="BH28" s="133">
        <v>1</v>
      </c>
      <c r="BI28" s="15"/>
      <c r="BJ28" s="16">
        <f t="shared" si="34"/>
        <v>0</v>
      </c>
      <c r="BK28" s="15"/>
      <c r="BL28" s="134">
        <v>77000</v>
      </c>
      <c r="BM28" s="133">
        <v>1</v>
      </c>
      <c r="BN28" s="15"/>
      <c r="BO28" s="16">
        <f t="shared" si="35"/>
        <v>0</v>
      </c>
      <c r="BP28" s="1006"/>
      <c r="BQ28" s="884">
        <f t="shared" si="41"/>
        <v>0</v>
      </c>
    </row>
    <row r="29" spans="1:70" s="18" customFormat="1" ht="13.5" thickBot="1" x14ac:dyDescent="0.25">
      <c r="C29" s="28" t="s">
        <v>30</v>
      </c>
      <c r="D29" s="29">
        <f t="shared" ref="D29:Q29" si="46">SUM(D5:D28)</f>
        <v>604000</v>
      </c>
      <c r="E29" s="13">
        <f t="shared" si="46"/>
        <v>16</v>
      </c>
      <c r="F29" s="14">
        <f t="shared" si="46"/>
        <v>0</v>
      </c>
      <c r="G29" s="14">
        <f t="shared" si="46"/>
        <v>0</v>
      </c>
      <c r="H29" s="60">
        <f t="shared" si="46"/>
        <v>16</v>
      </c>
      <c r="I29" s="14">
        <f t="shared" si="46"/>
        <v>0</v>
      </c>
      <c r="J29" s="13">
        <f t="shared" si="46"/>
        <v>0</v>
      </c>
      <c r="K29" s="60">
        <f t="shared" si="46"/>
        <v>604000</v>
      </c>
      <c r="L29" s="411"/>
      <c r="M29" s="411"/>
      <c r="N29" s="29">
        <f t="shared" si="46"/>
        <v>813263.11</v>
      </c>
      <c r="O29" s="13">
        <f t="shared" si="46"/>
        <v>16.03</v>
      </c>
      <c r="P29" s="14">
        <f t="shared" si="46"/>
        <v>1</v>
      </c>
      <c r="Q29" s="13">
        <f t="shared" si="46"/>
        <v>45888.69</v>
      </c>
      <c r="R29" s="32">
        <f>SUM(R5:R17)</f>
        <v>13858.38</v>
      </c>
      <c r="S29" s="29">
        <f t="shared" ref="S29:AF29" si="47">SUM(S5:S28)</f>
        <v>817508.1</v>
      </c>
      <c r="T29" s="13">
        <f t="shared" si="47"/>
        <v>16</v>
      </c>
      <c r="U29" s="14">
        <f t="shared" si="47"/>
        <v>1.5</v>
      </c>
      <c r="V29" s="13">
        <f t="shared" si="47"/>
        <v>91121.62</v>
      </c>
      <c r="W29" s="32">
        <f>SUM(W5:W17)</f>
        <v>27518.73</v>
      </c>
      <c r="X29" s="29">
        <f t="shared" si="47"/>
        <v>805977.29</v>
      </c>
      <c r="Y29" s="13">
        <f t="shared" si="47"/>
        <v>16</v>
      </c>
      <c r="Z29" s="14">
        <f t="shared" si="47"/>
        <v>2.5</v>
      </c>
      <c r="AA29" s="13">
        <f t="shared" si="47"/>
        <v>114862.49</v>
      </c>
      <c r="AB29" s="32">
        <f>SUM(AB5:AB17)</f>
        <v>34688.480000000003</v>
      </c>
      <c r="AC29" s="29">
        <f t="shared" si="47"/>
        <v>865022.04</v>
      </c>
      <c r="AD29" s="13">
        <f t="shared" si="47"/>
        <v>17</v>
      </c>
      <c r="AE29" s="14">
        <f t="shared" si="47"/>
        <v>2.5</v>
      </c>
      <c r="AF29" s="13">
        <f t="shared" si="47"/>
        <v>136295.35</v>
      </c>
      <c r="AG29" s="32">
        <f>SUM(AG5:AG17)</f>
        <v>41161.199999999997</v>
      </c>
      <c r="AH29" s="29">
        <f t="shared" ref="AH29:AY29" si="48">SUM(AH5:AH28)</f>
        <v>797206.26</v>
      </c>
      <c r="AI29" s="13">
        <f t="shared" si="48"/>
        <v>16.87</v>
      </c>
      <c r="AJ29" s="14">
        <f t="shared" si="48"/>
        <v>2.5</v>
      </c>
      <c r="AK29" s="13">
        <f t="shared" si="48"/>
        <v>112218.25</v>
      </c>
      <c r="AL29" s="32">
        <f>SUM(AL5:AL17)</f>
        <v>32899.919999999998</v>
      </c>
      <c r="AM29" s="29">
        <f t="shared" si="48"/>
        <v>839037.62</v>
      </c>
      <c r="AN29" s="13">
        <f t="shared" si="48"/>
        <v>17</v>
      </c>
      <c r="AO29" s="14">
        <f t="shared" si="48"/>
        <v>2.5</v>
      </c>
      <c r="AP29" s="13">
        <f t="shared" si="48"/>
        <v>114498.95</v>
      </c>
      <c r="AQ29" s="32">
        <f>SUM(AQ5:AQ17)</f>
        <v>34578.68</v>
      </c>
      <c r="AR29" s="29">
        <f t="shared" si="48"/>
        <v>890516.91</v>
      </c>
      <c r="AS29" s="13">
        <f t="shared" si="48"/>
        <v>17.84</v>
      </c>
      <c r="AT29" s="14">
        <f t="shared" si="48"/>
        <v>2</v>
      </c>
      <c r="AU29" s="13">
        <f t="shared" si="48"/>
        <v>94106.38</v>
      </c>
      <c r="AV29" s="32">
        <f>SUM(AV5:AV17)</f>
        <v>25274</v>
      </c>
      <c r="AW29" s="29">
        <f t="shared" si="48"/>
        <v>941134.9</v>
      </c>
      <c r="AX29" s="13">
        <f t="shared" si="48"/>
        <v>17.809999999999999</v>
      </c>
      <c r="AY29" s="14">
        <f t="shared" si="48"/>
        <v>2</v>
      </c>
      <c r="AZ29" s="13">
        <f t="shared" ref="AZ29:BQ29" si="49">SUM(AZ5:AZ28)</f>
        <v>103500</v>
      </c>
      <c r="BA29" s="32">
        <f>SUM(BA5:BA17)</f>
        <v>23557</v>
      </c>
      <c r="BB29" s="29">
        <f t="shared" si="49"/>
        <v>953940.25</v>
      </c>
      <c r="BC29" s="13">
        <f t="shared" si="49"/>
        <v>18</v>
      </c>
      <c r="BD29" s="14">
        <f t="shared" si="49"/>
        <v>2</v>
      </c>
      <c r="BE29" s="13">
        <f t="shared" si="49"/>
        <v>102692.4</v>
      </c>
      <c r="BF29" s="32">
        <f>SUM(BF5:BF17)</f>
        <v>23313.1</v>
      </c>
      <c r="BG29" s="29">
        <f t="shared" si="49"/>
        <v>950438.91</v>
      </c>
      <c r="BH29" s="13">
        <f t="shared" si="49"/>
        <v>18</v>
      </c>
      <c r="BI29" s="14">
        <f t="shared" si="49"/>
        <v>2</v>
      </c>
      <c r="BJ29" s="13">
        <f t="shared" si="49"/>
        <v>99565.87</v>
      </c>
      <c r="BK29" s="32">
        <f>SUM(BK5:BK17)</f>
        <v>23313.5</v>
      </c>
      <c r="BL29" s="29">
        <f t="shared" si="49"/>
        <v>949650</v>
      </c>
      <c r="BM29" s="13">
        <f t="shared" si="49"/>
        <v>18</v>
      </c>
      <c r="BN29" s="14">
        <f t="shared" si="49"/>
        <v>1</v>
      </c>
      <c r="BO29" s="13">
        <f t="shared" si="49"/>
        <v>49500</v>
      </c>
      <c r="BP29" s="1007">
        <f>SUM(BP5:BP17)</f>
        <v>14949</v>
      </c>
      <c r="BQ29" s="60">
        <f t="shared" si="49"/>
        <v>21.5</v>
      </c>
      <c r="BR29" s="1007">
        <f>BP29+BK29+BF29+BA29+AV29+AQ29+AL29+AG29+AB29+W29+R29</f>
        <v>295111.99</v>
      </c>
    </row>
    <row r="30" spans="1:70" x14ac:dyDescent="0.2">
      <c r="E30" s="10"/>
      <c r="O30" s="10"/>
      <c r="T30" s="10"/>
      <c r="Y30" s="10"/>
      <c r="AD30" s="10"/>
      <c r="AI30" s="10"/>
      <c r="AN30" s="10"/>
      <c r="AS30" s="10"/>
      <c r="AX30" s="10"/>
      <c r="BC30" s="10"/>
      <c r="BH30" s="10"/>
      <c r="BM30" s="10"/>
    </row>
    <row r="31" spans="1:70" s="38" customFormat="1" ht="12" x14ac:dyDescent="0.2">
      <c r="C31" s="37" t="s">
        <v>66</v>
      </c>
      <c r="D31" s="38">
        <f>SUM(I31:I31)</f>
        <v>0</v>
      </c>
      <c r="E31" s="4">
        <f>SUM(F31:F31)</f>
        <v>0</v>
      </c>
      <c r="F31" s="4"/>
      <c r="G31" s="4"/>
      <c r="H31" s="4"/>
      <c r="I31" s="4"/>
      <c r="J31" s="4"/>
      <c r="K31" s="4"/>
      <c r="L31" s="4"/>
      <c r="M31" s="4"/>
      <c r="N31" s="38">
        <f>SUM(Q31:Q31)</f>
        <v>45888.69</v>
      </c>
      <c r="O31" s="4">
        <f>SUM(P31:P31)</f>
        <v>1</v>
      </c>
      <c r="P31" s="143">
        <v>1</v>
      </c>
      <c r="Q31" s="143">
        <v>45888.69</v>
      </c>
      <c r="R31" s="143"/>
      <c r="S31" s="38">
        <f>SUM(V31:V31)</f>
        <v>91121.62</v>
      </c>
      <c r="T31" s="4">
        <f>SUM(U31:U31)</f>
        <v>1.5</v>
      </c>
      <c r="U31" s="143">
        <v>1.5</v>
      </c>
      <c r="V31" s="143">
        <v>91121.62</v>
      </c>
      <c r="W31" s="143"/>
      <c r="X31" s="38">
        <f>SUM(AA31:AA31)</f>
        <v>114862.49</v>
      </c>
      <c r="Y31" s="4">
        <f>SUM(Z31:Z31)</f>
        <v>2.5</v>
      </c>
      <c r="Z31" s="143">
        <v>2.5</v>
      </c>
      <c r="AA31" s="143">
        <v>114862.49</v>
      </c>
      <c r="AB31" s="143"/>
      <c r="AC31" s="38">
        <f>SUM(AF31:AF31)</f>
        <v>136295.35</v>
      </c>
      <c r="AD31" s="4">
        <f>SUM(AE31:AE31)</f>
        <v>2.5</v>
      </c>
      <c r="AE31" s="143">
        <v>2.5</v>
      </c>
      <c r="AF31" s="143">
        <v>136295.35</v>
      </c>
      <c r="AG31" s="143"/>
      <c r="AH31" s="38">
        <f>SUM(AK31:AK31)</f>
        <v>112218.25</v>
      </c>
      <c r="AI31" s="4">
        <f>SUM(AJ31:AJ31)</f>
        <v>2.5</v>
      </c>
      <c r="AJ31" s="143">
        <v>2.5</v>
      </c>
      <c r="AK31" s="143">
        <v>112218.25</v>
      </c>
      <c r="AL31" s="143"/>
      <c r="AM31" s="38">
        <f>SUM(AP31:AP31)</f>
        <v>114498.95</v>
      </c>
      <c r="AN31" s="4">
        <f>SUM(AO31:AO31)</f>
        <v>2.5</v>
      </c>
      <c r="AO31" s="143">
        <v>2.5</v>
      </c>
      <c r="AP31" s="143">
        <v>114498.95</v>
      </c>
      <c r="AQ31" s="143"/>
      <c r="AR31" s="38">
        <f>SUM(AU31:AU31)</f>
        <v>94106.38</v>
      </c>
      <c r="AS31" s="4">
        <f>SUM(AT31:AT31)</f>
        <v>2</v>
      </c>
      <c r="AT31" s="143">
        <v>2</v>
      </c>
      <c r="AU31" s="143">
        <v>94106.38</v>
      </c>
      <c r="AV31" s="143"/>
      <c r="AW31" s="38">
        <f>SUM(AZ31:AZ31)</f>
        <v>103500</v>
      </c>
      <c r="AX31" s="4">
        <f>SUM(AY31:AY31)</f>
        <v>2</v>
      </c>
      <c r="AY31" s="143">
        <v>2</v>
      </c>
      <c r="AZ31" s="143">
        <v>103500</v>
      </c>
      <c r="BA31" s="143"/>
      <c r="BB31" s="38">
        <f>SUM(BE31:BE31)</f>
        <v>102692.4</v>
      </c>
      <c r="BC31" s="4">
        <f>SUM(BD31:BD31)</f>
        <v>2</v>
      </c>
      <c r="BD31" s="143">
        <v>2</v>
      </c>
      <c r="BE31" s="143">
        <v>102692.4</v>
      </c>
      <c r="BF31" s="143"/>
      <c r="BG31" s="38">
        <f>SUM(BJ31:BJ31)</f>
        <v>99565.87</v>
      </c>
      <c r="BH31" s="4">
        <f>SUM(BI31:BI31)</f>
        <v>2</v>
      </c>
      <c r="BI31" s="143">
        <v>2</v>
      </c>
      <c r="BJ31" s="143">
        <v>99565.87</v>
      </c>
      <c r="BK31" s="143"/>
      <c r="BL31" s="38">
        <f>SUM(BO31:BO31)</f>
        <v>49500</v>
      </c>
      <c r="BM31" s="4">
        <f>SUM(BN31:BN31)</f>
        <v>1</v>
      </c>
      <c r="BN31" s="143">
        <v>1</v>
      </c>
      <c r="BO31" s="143">
        <v>49500</v>
      </c>
      <c r="BP31" s="38">
        <f>BO31+BJ31+BE31+AZ31+AU31+AP31+AK31+AF31+AA31+V31+Q31</f>
        <v>1064250</v>
      </c>
      <c r="BQ31" s="38">
        <f>BP31*30.2%</f>
        <v>321403.5</v>
      </c>
    </row>
    <row r="32" spans="1:70" s="39" customFormat="1" x14ac:dyDescent="0.2">
      <c r="D32" s="40">
        <f>D29-D31</f>
        <v>604000</v>
      </c>
      <c r="E32" s="40">
        <f>E29-E31</f>
        <v>16</v>
      </c>
      <c r="F32" s="40">
        <f>F29-F31</f>
        <v>0</v>
      </c>
      <c r="G32" s="40">
        <f>G29-G31</f>
        <v>0</v>
      </c>
      <c r="H32" s="40"/>
      <c r="I32" s="40">
        <f>I29-I31</f>
        <v>0</v>
      </c>
      <c r="J32" s="40">
        <f>J29-J31</f>
        <v>0</v>
      </c>
      <c r="K32" s="40"/>
      <c r="L32" s="40"/>
      <c r="M32" s="40"/>
      <c r="N32" s="40">
        <f t="shared" ref="N32:P32" si="50">N29-N31</f>
        <v>767374.42</v>
      </c>
      <c r="O32" s="40">
        <f t="shared" si="50"/>
        <v>15.03</v>
      </c>
      <c r="P32" s="40">
        <f t="shared" si="50"/>
        <v>0</v>
      </c>
      <c r="Q32" s="40">
        <f t="shared" ref="Q32" si="51">Q29-Q31</f>
        <v>0</v>
      </c>
      <c r="R32" s="40"/>
      <c r="S32" s="40">
        <f t="shared" ref="S32:U32" si="52">S29-S31</f>
        <v>726386.48</v>
      </c>
      <c r="T32" s="40">
        <f t="shared" si="52"/>
        <v>14.5</v>
      </c>
      <c r="U32" s="40">
        <f t="shared" si="52"/>
        <v>0</v>
      </c>
      <c r="V32" s="40">
        <f t="shared" ref="V32" si="53">V29-V31</f>
        <v>0</v>
      </c>
      <c r="W32" s="40"/>
      <c r="X32" s="40">
        <f t="shared" ref="X32:Z32" si="54">X29-X31</f>
        <v>691114.8</v>
      </c>
      <c r="Y32" s="40">
        <f t="shared" si="54"/>
        <v>13.5</v>
      </c>
      <c r="Z32" s="40">
        <f t="shared" si="54"/>
        <v>0</v>
      </c>
      <c r="AA32" s="40">
        <f t="shared" ref="AA32" si="55">AA29-AA31</f>
        <v>0</v>
      </c>
      <c r="AB32" s="40"/>
      <c r="AC32" s="40">
        <f t="shared" ref="AC32:AE32" si="56">AC29-AC31</f>
        <v>728726.69</v>
      </c>
      <c r="AD32" s="40">
        <f t="shared" si="56"/>
        <v>14.5</v>
      </c>
      <c r="AE32" s="40">
        <f t="shared" si="56"/>
        <v>0</v>
      </c>
      <c r="AF32" s="40">
        <f t="shared" ref="AF32" si="57">AF29-AF31</f>
        <v>0</v>
      </c>
      <c r="AG32" s="40"/>
      <c r="AH32" s="40">
        <f t="shared" ref="AH32:AJ32" si="58">AH29-AH31</f>
        <v>684988.01</v>
      </c>
      <c r="AI32" s="40">
        <f t="shared" si="58"/>
        <v>14.37</v>
      </c>
      <c r="AJ32" s="40">
        <f t="shared" si="58"/>
        <v>0</v>
      </c>
      <c r="AK32" s="40">
        <f t="shared" ref="AK32" si="59">AK29-AK31</f>
        <v>0</v>
      </c>
      <c r="AL32" s="40"/>
      <c r="AM32" s="40">
        <f t="shared" ref="AM32:AO32" si="60">AM29-AM31</f>
        <v>724538.67</v>
      </c>
      <c r="AN32" s="40">
        <f t="shared" si="60"/>
        <v>14.5</v>
      </c>
      <c r="AO32" s="40">
        <f t="shared" si="60"/>
        <v>0</v>
      </c>
      <c r="AP32" s="40">
        <f t="shared" ref="AP32" si="61">AP29-AP31</f>
        <v>0</v>
      </c>
      <c r="AQ32" s="40"/>
      <c r="AR32" s="40">
        <f t="shared" ref="AR32:AT32" si="62">AR29-AR31</f>
        <v>796410.53</v>
      </c>
      <c r="AS32" s="40">
        <f t="shared" si="62"/>
        <v>15.84</v>
      </c>
      <c r="AT32" s="40">
        <f t="shared" si="62"/>
        <v>0</v>
      </c>
      <c r="AU32" s="40">
        <f t="shared" ref="AU32" si="63">AU29-AU31</f>
        <v>0</v>
      </c>
      <c r="AV32" s="40"/>
      <c r="AW32" s="40">
        <f t="shared" ref="AW32:AY32" si="64">AW29-AW31</f>
        <v>837634.9</v>
      </c>
      <c r="AX32" s="40">
        <f t="shared" si="64"/>
        <v>15.81</v>
      </c>
      <c r="AY32" s="40">
        <f t="shared" si="64"/>
        <v>0</v>
      </c>
      <c r="AZ32" s="40">
        <f t="shared" ref="AZ32" si="65">AZ29-AZ31</f>
        <v>0</v>
      </c>
      <c r="BA32" s="40"/>
      <c r="BB32" s="40">
        <f t="shared" ref="BB32:BD32" si="66">BB29-BB31</f>
        <v>851247.85</v>
      </c>
      <c r="BC32" s="40">
        <f t="shared" si="66"/>
        <v>16</v>
      </c>
      <c r="BD32" s="40">
        <f t="shared" si="66"/>
        <v>0</v>
      </c>
      <c r="BE32" s="40">
        <f t="shared" ref="BE32" si="67">BE29-BE31</f>
        <v>0</v>
      </c>
      <c r="BF32" s="40"/>
      <c r="BG32" s="40">
        <f t="shared" ref="BG32:BI32" si="68">BG29-BG31</f>
        <v>850873.04</v>
      </c>
      <c r="BH32" s="40">
        <f t="shared" si="68"/>
        <v>16</v>
      </c>
      <c r="BI32" s="40">
        <f t="shared" si="68"/>
        <v>0</v>
      </c>
      <c r="BJ32" s="40">
        <f t="shared" ref="BJ32" si="69">BJ29-BJ31</f>
        <v>0</v>
      </c>
      <c r="BK32" s="40"/>
      <c r="BL32" s="40">
        <f t="shared" ref="BL32:BN32" si="70">BL29-BL31</f>
        <v>900150</v>
      </c>
      <c r="BM32" s="40">
        <f t="shared" si="70"/>
        <v>17</v>
      </c>
      <c r="BN32" s="40">
        <f t="shared" si="70"/>
        <v>0</v>
      </c>
      <c r="BO32" s="40">
        <f t="shared" ref="BO32" si="71">BO29-BO31</f>
        <v>0</v>
      </c>
    </row>
    <row r="34" spans="9:67" x14ac:dyDescent="0.2">
      <c r="I34" s="4"/>
      <c r="Q34" s="4">
        <f>Q29/P29</f>
        <v>45888.69</v>
      </c>
      <c r="R34" s="4"/>
      <c r="V34" s="4">
        <f>V29/U29</f>
        <v>60747.75</v>
      </c>
      <c r="W34" s="4"/>
      <c r="AA34" s="4">
        <f>AA29/Z29</f>
        <v>45945</v>
      </c>
      <c r="AB34" s="4"/>
      <c r="AF34" s="4">
        <f>AF29/AE29</f>
        <v>54518.14</v>
      </c>
      <c r="AG34" s="4"/>
      <c r="AK34" s="4">
        <f>AK29/AJ29</f>
        <v>44887.3</v>
      </c>
      <c r="AL34" s="4"/>
      <c r="AP34" s="4">
        <f>AP29/AO29</f>
        <v>45799.58</v>
      </c>
      <c r="AQ34" s="4"/>
      <c r="AU34" s="4">
        <f>AU29/AT29</f>
        <v>47053.19</v>
      </c>
      <c r="AV34" s="4"/>
      <c r="AZ34" s="4">
        <f>AZ29/AY29</f>
        <v>51750</v>
      </c>
      <c r="BA34" s="4"/>
      <c r="BE34" s="4">
        <f>BE29/BD29</f>
        <v>51346.2</v>
      </c>
      <c r="BF34" s="4"/>
      <c r="BJ34" s="4">
        <f>BJ29/BI29</f>
        <v>49782.94</v>
      </c>
      <c r="BK34" s="4"/>
      <c r="BO34" s="4">
        <f>BO29/BN29</f>
        <v>49500</v>
      </c>
    </row>
  </sheetData>
  <autoFilter ref="BQ1:BQ37"/>
  <mergeCells count="42">
    <mergeCell ref="BO3:BO4"/>
    <mergeCell ref="BN3:BN4"/>
    <mergeCell ref="BJ3:BJ4"/>
    <mergeCell ref="BL3:BM4"/>
    <mergeCell ref="BI3:BI4"/>
    <mergeCell ref="BE3:BE4"/>
    <mergeCell ref="BG3:BH4"/>
    <mergeCell ref="BD3:BD4"/>
    <mergeCell ref="BB3:BC4"/>
    <mergeCell ref="AZ3:AZ4"/>
    <mergeCell ref="AW3:AX4"/>
    <mergeCell ref="AY3:AY4"/>
    <mergeCell ref="AU3:AU4"/>
    <mergeCell ref="AT3:AT4"/>
    <mergeCell ref="AR3:AS4"/>
    <mergeCell ref="AP3:AP4"/>
    <mergeCell ref="AO3:AO4"/>
    <mergeCell ref="AK3:AK4"/>
    <mergeCell ref="AM3:AN4"/>
    <mergeCell ref="AJ3:AJ4"/>
    <mergeCell ref="AF3:AF4"/>
    <mergeCell ref="AH3:AI4"/>
    <mergeCell ref="AE3:AE4"/>
    <mergeCell ref="AA3:AA4"/>
    <mergeCell ref="AC3:AD4"/>
    <mergeCell ref="Z3:Z4"/>
    <mergeCell ref="V3:V4"/>
    <mergeCell ref="X3:Y4"/>
    <mergeCell ref="U3:U4"/>
    <mergeCell ref="Q3:Q4"/>
    <mergeCell ref="S3:T4"/>
    <mergeCell ref="D3:E4"/>
    <mergeCell ref="F3:F4"/>
    <mergeCell ref="B3:B4"/>
    <mergeCell ref="C3:C4"/>
    <mergeCell ref="P3:P4"/>
    <mergeCell ref="G3:G4"/>
    <mergeCell ref="H3:H4"/>
    <mergeCell ref="I3:I4"/>
    <mergeCell ref="J3:J4"/>
    <mergeCell ref="K3:K4"/>
    <mergeCell ref="N3:O4"/>
  </mergeCells>
  <pageMargins left="0.15748031496062992" right="0.19685039370078741" top="0.15748031496062992" bottom="0.15748031496062992" header="0.31496062992125984" footer="0.31496062992125984"/>
  <pageSetup paperSize="9" scale="85" orientation="portrait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4"/>
  <sheetViews>
    <sheetView workbookViewId="0">
      <selection activeCell="F1" sqref="F1"/>
    </sheetView>
  </sheetViews>
  <sheetFormatPr defaultRowHeight="12.75" x14ac:dyDescent="0.2"/>
  <cols>
    <col min="1" max="1" width="9.140625" style="139"/>
    <col min="2" max="3" width="11.7109375" style="139" bestFit="1" customWidth="1"/>
    <col min="4" max="6" width="12.28515625" style="139" bestFit="1" customWidth="1"/>
    <col min="7" max="8" width="11.7109375" style="139" bestFit="1" customWidth="1"/>
    <col min="9" max="11" width="12.7109375" style="139" bestFit="1" customWidth="1"/>
    <col min="12" max="12" width="13.42578125" style="139" bestFit="1" customWidth="1"/>
    <col min="13" max="13" width="12.5703125" style="139" bestFit="1" customWidth="1"/>
    <col min="14" max="14" width="11.7109375" style="139" bestFit="1" customWidth="1"/>
    <col min="15" max="15" width="14.28515625" style="139" customWidth="1"/>
    <col min="16" max="16" width="13" style="139" bestFit="1" customWidth="1"/>
    <col min="17" max="17" width="11.42578125" style="139" bestFit="1" customWidth="1"/>
    <col min="18" max="257" width="9.140625" style="139"/>
    <col min="258" max="267" width="11.7109375" style="139" bestFit="1" customWidth="1"/>
    <col min="268" max="269" width="12.5703125" style="139" bestFit="1" customWidth="1"/>
    <col min="270" max="270" width="11.7109375" style="139" bestFit="1" customWidth="1"/>
    <col min="271" max="271" width="14.28515625" style="139" customWidth="1"/>
    <col min="272" max="272" width="13" style="139" bestFit="1" customWidth="1"/>
    <col min="273" max="273" width="11.42578125" style="139" bestFit="1" customWidth="1"/>
    <col min="274" max="513" width="9.140625" style="139"/>
    <col min="514" max="523" width="11.7109375" style="139" bestFit="1" customWidth="1"/>
    <col min="524" max="525" width="12.5703125" style="139" bestFit="1" customWidth="1"/>
    <col min="526" max="526" width="11.7109375" style="139" bestFit="1" customWidth="1"/>
    <col min="527" max="527" width="14.28515625" style="139" customWidth="1"/>
    <col min="528" max="528" width="13" style="139" bestFit="1" customWidth="1"/>
    <col min="529" max="529" width="11.42578125" style="139" bestFit="1" customWidth="1"/>
    <col min="530" max="769" width="9.140625" style="139"/>
    <col min="770" max="779" width="11.7109375" style="139" bestFit="1" customWidth="1"/>
    <col min="780" max="781" width="12.5703125" style="139" bestFit="1" customWidth="1"/>
    <col min="782" max="782" width="11.7109375" style="139" bestFit="1" customWidth="1"/>
    <col min="783" max="783" width="14.28515625" style="139" customWidth="1"/>
    <col min="784" max="784" width="13" style="139" bestFit="1" customWidth="1"/>
    <col min="785" max="785" width="11.42578125" style="139" bestFit="1" customWidth="1"/>
    <col min="786" max="1025" width="9.140625" style="139"/>
    <col min="1026" max="1035" width="11.7109375" style="139" bestFit="1" customWidth="1"/>
    <col min="1036" max="1037" width="12.5703125" style="139" bestFit="1" customWidth="1"/>
    <col min="1038" max="1038" width="11.7109375" style="139" bestFit="1" customWidth="1"/>
    <col min="1039" max="1039" width="14.28515625" style="139" customWidth="1"/>
    <col min="1040" max="1040" width="13" style="139" bestFit="1" customWidth="1"/>
    <col min="1041" max="1041" width="11.42578125" style="139" bestFit="1" customWidth="1"/>
    <col min="1042" max="1281" width="9.140625" style="139"/>
    <col min="1282" max="1291" width="11.7109375" style="139" bestFit="1" customWidth="1"/>
    <col min="1292" max="1293" width="12.5703125" style="139" bestFit="1" customWidth="1"/>
    <col min="1294" max="1294" width="11.7109375" style="139" bestFit="1" customWidth="1"/>
    <col min="1295" max="1295" width="14.28515625" style="139" customWidth="1"/>
    <col min="1296" max="1296" width="13" style="139" bestFit="1" customWidth="1"/>
    <col min="1297" max="1297" width="11.42578125" style="139" bestFit="1" customWidth="1"/>
    <col min="1298" max="1537" width="9.140625" style="139"/>
    <col min="1538" max="1547" width="11.7109375" style="139" bestFit="1" customWidth="1"/>
    <col min="1548" max="1549" width="12.5703125" style="139" bestFit="1" customWidth="1"/>
    <col min="1550" max="1550" width="11.7109375" style="139" bestFit="1" customWidth="1"/>
    <col min="1551" max="1551" width="14.28515625" style="139" customWidth="1"/>
    <col min="1552" max="1552" width="13" style="139" bestFit="1" customWidth="1"/>
    <col min="1553" max="1553" width="11.42578125" style="139" bestFit="1" customWidth="1"/>
    <col min="1554" max="1793" width="9.140625" style="139"/>
    <col min="1794" max="1803" width="11.7109375" style="139" bestFit="1" customWidth="1"/>
    <col min="1804" max="1805" width="12.5703125" style="139" bestFit="1" customWidth="1"/>
    <col min="1806" max="1806" width="11.7109375" style="139" bestFit="1" customWidth="1"/>
    <col min="1807" max="1807" width="14.28515625" style="139" customWidth="1"/>
    <col min="1808" max="1808" width="13" style="139" bestFit="1" customWidth="1"/>
    <col min="1809" max="1809" width="11.42578125" style="139" bestFit="1" customWidth="1"/>
    <col min="1810" max="2049" width="9.140625" style="139"/>
    <col min="2050" max="2059" width="11.7109375" style="139" bestFit="1" customWidth="1"/>
    <col min="2060" max="2061" width="12.5703125" style="139" bestFit="1" customWidth="1"/>
    <col min="2062" max="2062" width="11.7109375" style="139" bestFit="1" customWidth="1"/>
    <col min="2063" max="2063" width="14.28515625" style="139" customWidth="1"/>
    <col min="2064" max="2064" width="13" style="139" bestFit="1" customWidth="1"/>
    <col min="2065" max="2065" width="11.42578125" style="139" bestFit="1" customWidth="1"/>
    <col min="2066" max="2305" width="9.140625" style="139"/>
    <col min="2306" max="2315" width="11.7109375" style="139" bestFit="1" customWidth="1"/>
    <col min="2316" max="2317" width="12.5703125" style="139" bestFit="1" customWidth="1"/>
    <col min="2318" max="2318" width="11.7109375" style="139" bestFit="1" customWidth="1"/>
    <col min="2319" max="2319" width="14.28515625" style="139" customWidth="1"/>
    <col min="2320" max="2320" width="13" style="139" bestFit="1" customWidth="1"/>
    <col min="2321" max="2321" width="11.42578125" style="139" bestFit="1" customWidth="1"/>
    <col min="2322" max="2561" width="9.140625" style="139"/>
    <col min="2562" max="2571" width="11.7109375" style="139" bestFit="1" customWidth="1"/>
    <col min="2572" max="2573" width="12.5703125" style="139" bestFit="1" customWidth="1"/>
    <col min="2574" max="2574" width="11.7109375" style="139" bestFit="1" customWidth="1"/>
    <col min="2575" max="2575" width="14.28515625" style="139" customWidth="1"/>
    <col min="2576" max="2576" width="13" style="139" bestFit="1" customWidth="1"/>
    <col min="2577" max="2577" width="11.42578125" style="139" bestFit="1" customWidth="1"/>
    <col min="2578" max="2817" width="9.140625" style="139"/>
    <col min="2818" max="2827" width="11.7109375" style="139" bestFit="1" customWidth="1"/>
    <col min="2828" max="2829" width="12.5703125" style="139" bestFit="1" customWidth="1"/>
    <col min="2830" max="2830" width="11.7109375" style="139" bestFit="1" customWidth="1"/>
    <col min="2831" max="2831" width="14.28515625" style="139" customWidth="1"/>
    <col min="2832" max="2832" width="13" style="139" bestFit="1" customWidth="1"/>
    <col min="2833" max="2833" width="11.42578125" style="139" bestFit="1" customWidth="1"/>
    <col min="2834" max="3073" width="9.140625" style="139"/>
    <col min="3074" max="3083" width="11.7109375" style="139" bestFit="1" customWidth="1"/>
    <col min="3084" max="3085" width="12.5703125" style="139" bestFit="1" customWidth="1"/>
    <col min="3086" max="3086" width="11.7109375" style="139" bestFit="1" customWidth="1"/>
    <col min="3087" max="3087" width="14.28515625" style="139" customWidth="1"/>
    <col min="3088" max="3088" width="13" style="139" bestFit="1" customWidth="1"/>
    <col min="3089" max="3089" width="11.42578125" style="139" bestFit="1" customWidth="1"/>
    <col min="3090" max="3329" width="9.140625" style="139"/>
    <col min="3330" max="3339" width="11.7109375" style="139" bestFit="1" customWidth="1"/>
    <col min="3340" max="3341" width="12.5703125" style="139" bestFit="1" customWidth="1"/>
    <col min="3342" max="3342" width="11.7109375" style="139" bestFit="1" customWidth="1"/>
    <col min="3343" max="3343" width="14.28515625" style="139" customWidth="1"/>
    <col min="3344" max="3344" width="13" style="139" bestFit="1" customWidth="1"/>
    <col min="3345" max="3345" width="11.42578125" style="139" bestFit="1" customWidth="1"/>
    <col min="3346" max="3585" width="9.140625" style="139"/>
    <col min="3586" max="3595" width="11.7109375" style="139" bestFit="1" customWidth="1"/>
    <col min="3596" max="3597" width="12.5703125" style="139" bestFit="1" customWidth="1"/>
    <col min="3598" max="3598" width="11.7109375" style="139" bestFit="1" customWidth="1"/>
    <col min="3599" max="3599" width="14.28515625" style="139" customWidth="1"/>
    <col min="3600" max="3600" width="13" style="139" bestFit="1" customWidth="1"/>
    <col min="3601" max="3601" width="11.42578125" style="139" bestFit="1" customWidth="1"/>
    <col min="3602" max="3841" width="9.140625" style="139"/>
    <col min="3842" max="3851" width="11.7109375" style="139" bestFit="1" customWidth="1"/>
    <col min="3852" max="3853" width="12.5703125" style="139" bestFit="1" customWidth="1"/>
    <col min="3854" max="3854" width="11.7109375" style="139" bestFit="1" customWidth="1"/>
    <col min="3855" max="3855" width="14.28515625" style="139" customWidth="1"/>
    <col min="3856" max="3856" width="13" style="139" bestFit="1" customWidth="1"/>
    <col min="3857" max="3857" width="11.42578125" style="139" bestFit="1" customWidth="1"/>
    <col min="3858" max="4097" width="9.140625" style="139"/>
    <col min="4098" max="4107" width="11.7109375" style="139" bestFit="1" customWidth="1"/>
    <col min="4108" max="4109" width="12.5703125" style="139" bestFit="1" customWidth="1"/>
    <col min="4110" max="4110" width="11.7109375" style="139" bestFit="1" customWidth="1"/>
    <col min="4111" max="4111" width="14.28515625" style="139" customWidth="1"/>
    <col min="4112" max="4112" width="13" style="139" bestFit="1" customWidth="1"/>
    <col min="4113" max="4113" width="11.42578125" style="139" bestFit="1" customWidth="1"/>
    <col min="4114" max="4353" width="9.140625" style="139"/>
    <col min="4354" max="4363" width="11.7109375" style="139" bestFit="1" customWidth="1"/>
    <col min="4364" max="4365" width="12.5703125" style="139" bestFit="1" customWidth="1"/>
    <col min="4366" max="4366" width="11.7109375" style="139" bestFit="1" customWidth="1"/>
    <col min="4367" max="4367" width="14.28515625" style="139" customWidth="1"/>
    <col min="4368" max="4368" width="13" style="139" bestFit="1" customWidth="1"/>
    <col min="4369" max="4369" width="11.42578125" style="139" bestFit="1" customWidth="1"/>
    <col min="4370" max="4609" width="9.140625" style="139"/>
    <col min="4610" max="4619" width="11.7109375" style="139" bestFit="1" customWidth="1"/>
    <col min="4620" max="4621" width="12.5703125" style="139" bestFit="1" customWidth="1"/>
    <col min="4622" max="4622" width="11.7109375" style="139" bestFit="1" customWidth="1"/>
    <col min="4623" max="4623" width="14.28515625" style="139" customWidth="1"/>
    <col min="4624" max="4624" width="13" style="139" bestFit="1" customWidth="1"/>
    <col min="4625" max="4625" width="11.42578125" style="139" bestFit="1" customWidth="1"/>
    <col min="4626" max="4865" width="9.140625" style="139"/>
    <col min="4866" max="4875" width="11.7109375" style="139" bestFit="1" customWidth="1"/>
    <col min="4876" max="4877" width="12.5703125" style="139" bestFit="1" customWidth="1"/>
    <col min="4878" max="4878" width="11.7109375" style="139" bestFit="1" customWidth="1"/>
    <col min="4879" max="4879" width="14.28515625" style="139" customWidth="1"/>
    <col min="4880" max="4880" width="13" style="139" bestFit="1" customWidth="1"/>
    <col min="4881" max="4881" width="11.42578125" style="139" bestFit="1" customWidth="1"/>
    <col min="4882" max="5121" width="9.140625" style="139"/>
    <col min="5122" max="5131" width="11.7109375" style="139" bestFit="1" customWidth="1"/>
    <col min="5132" max="5133" width="12.5703125" style="139" bestFit="1" customWidth="1"/>
    <col min="5134" max="5134" width="11.7109375" style="139" bestFit="1" customWidth="1"/>
    <col min="5135" max="5135" width="14.28515625" style="139" customWidth="1"/>
    <col min="5136" max="5136" width="13" style="139" bestFit="1" customWidth="1"/>
    <col min="5137" max="5137" width="11.42578125" style="139" bestFit="1" customWidth="1"/>
    <col min="5138" max="5377" width="9.140625" style="139"/>
    <col min="5378" max="5387" width="11.7109375" style="139" bestFit="1" customWidth="1"/>
    <col min="5388" max="5389" width="12.5703125" style="139" bestFit="1" customWidth="1"/>
    <col min="5390" max="5390" width="11.7109375" style="139" bestFit="1" customWidth="1"/>
    <col min="5391" max="5391" width="14.28515625" style="139" customWidth="1"/>
    <col min="5392" max="5392" width="13" style="139" bestFit="1" customWidth="1"/>
    <col min="5393" max="5393" width="11.42578125" style="139" bestFit="1" customWidth="1"/>
    <col min="5394" max="5633" width="9.140625" style="139"/>
    <col min="5634" max="5643" width="11.7109375" style="139" bestFit="1" customWidth="1"/>
    <col min="5644" max="5645" width="12.5703125" style="139" bestFit="1" customWidth="1"/>
    <col min="5646" max="5646" width="11.7109375" style="139" bestFit="1" customWidth="1"/>
    <col min="5647" max="5647" width="14.28515625" style="139" customWidth="1"/>
    <col min="5648" max="5648" width="13" style="139" bestFit="1" customWidth="1"/>
    <col min="5649" max="5649" width="11.42578125" style="139" bestFit="1" customWidth="1"/>
    <col min="5650" max="5889" width="9.140625" style="139"/>
    <col min="5890" max="5899" width="11.7109375" style="139" bestFit="1" customWidth="1"/>
    <col min="5900" max="5901" width="12.5703125" style="139" bestFit="1" customWidth="1"/>
    <col min="5902" max="5902" width="11.7109375" style="139" bestFit="1" customWidth="1"/>
    <col min="5903" max="5903" width="14.28515625" style="139" customWidth="1"/>
    <col min="5904" max="5904" width="13" style="139" bestFit="1" customWidth="1"/>
    <col min="5905" max="5905" width="11.42578125" style="139" bestFit="1" customWidth="1"/>
    <col min="5906" max="6145" width="9.140625" style="139"/>
    <col min="6146" max="6155" width="11.7109375" style="139" bestFit="1" customWidth="1"/>
    <col min="6156" max="6157" width="12.5703125" style="139" bestFit="1" customWidth="1"/>
    <col min="6158" max="6158" width="11.7109375" style="139" bestFit="1" customWidth="1"/>
    <col min="6159" max="6159" width="14.28515625" style="139" customWidth="1"/>
    <col min="6160" max="6160" width="13" style="139" bestFit="1" customWidth="1"/>
    <col min="6161" max="6161" width="11.42578125" style="139" bestFit="1" customWidth="1"/>
    <col min="6162" max="6401" width="9.140625" style="139"/>
    <col min="6402" max="6411" width="11.7109375" style="139" bestFit="1" customWidth="1"/>
    <col min="6412" max="6413" width="12.5703125" style="139" bestFit="1" customWidth="1"/>
    <col min="6414" max="6414" width="11.7109375" style="139" bestFit="1" customWidth="1"/>
    <col min="6415" max="6415" width="14.28515625" style="139" customWidth="1"/>
    <col min="6416" max="6416" width="13" style="139" bestFit="1" customWidth="1"/>
    <col min="6417" max="6417" width="11.42578125" style="139" bestFit="1" customWidth="1"/>
    <col min="6418" max="6657" width="9.140625" style="139"/>
    <col min="6658" max="6667" width="11.7109375" style="139" bestFit="1" customWidth="1"/>
    <col min="6668" max="6669" width="12.5703125" style="139" bestFit="1" customWidth="1"/>
    <col min="6670" max="6670" width="11.7109375" style="139" bestFit="1" customWidth="1"/>
    <col min="6671" max="6671" width="14.28515625" style="139" customWidth="1"/>
    <col min="6672" max="6672" width="13" style="139" bestFit="1" customWidth="1"/>
    <col min="6673" max="6673" width="11.42578125" style="139" bestFit="1" customWidth="1"/>
    <col min="6674" max="6913" width="9.140625" style="139"/>
    <col min="6914" max="6923" width="11.7109375" style="139" bestFit="1" customWidth="1"/>
    <col min="6924" max="6925" width="12.5703125" style="139" bestFit="1" customWidth="1"/>
    <col min="6926" max="6926" width="11.7109375" style="139" bestFit="1" customWidth="1"/>
    <col min="6927" max="6927" width="14.28515625" style="139" customWidth="1"/>
    <col min="6928" max="6928" width="13" style="139" bestFit="1" customWidth="1"/>
    <col min="6929" max="6929" width="11.42578125" style="139" bestFit="1" customWidth="1"/>
    <col min="6930" max="7169" width="9.140625" style="139"/>
    <col min="7170" max="7179" width="11.7109375" style="139" bestFit="1" customWidth="1"/>
    <col min="7180" max="7181" width="12.5703125" style="139" bestFit="1" customWidth="1"/>
    <col min="7182" max="7182" width="11.7109375" style="139" bestFit="1" customWidth="1"/>
    <col min="7183" max="7183" width="14.28515625" style="139" customWidth="1"/>
    <col min="7184" max="7184" width="13" style="139" bestFit="1" customWidth="1"/>
    <col min="7185" max="7185" width="11.42578125" style="139" bestFit="1" customWidth="1"/>
    <col min="7186" max="7425" width="9.140625" style="139"/>
    <col min="7426" max="7435" width="11.7109375" style="139" bestFit="1" customWidth="1"/>
    <col min="7436" max="7437" width="12.5703125" style="139" bestFit="1" customWidth="1"/>
    <col min="7438" max="7438" width="11.7109375" style="139" bestFit="1" customWidth="1"/>
    <col min="7439" max="7439" width="14.28515625" style="139" customWidth="1"/>
    <col min="7440" max="7440" width="13" style="139" bestFit="1" customWidth="1"/>
    <col min="7441" max="7441" width="11.42578125" style="139" bestFit="1" customWidth="1"/>
    <col min="7442" max="7681" width="9.140625" style="139"/>
    <col min="7682" max="7691" width="11.7109375" style="139" bestFit="1" customWidth="1"/>
    <col min="7692" max="7693" width="12.5703125" style="139" bestFit="1" customWidth="1"/>
    <col min="7694" max="7694" width="11.7109375" style="139" bestFit="1" customWidth="1"/>
    <col min="7695" max="7695" width="14.28515625" style="139" customWidth="1"/>
    <col min="7696" max="7696" width="13" style="139" bestFit="1" customWidth="1"/>
    <col min="7697" max="7697" width="11.42578125" style="139" bestFit="1" customWidth="1"/>
    <col min="7698" max="7937" width="9.140625" style="139"/>
    <col min="7938" max="7947" width="11.7109375" style="139" bestFit="1" customWidth="1"/>
    <col min="7948" max="7949" width="12.5703125" style="139" bestFit="1" customWidth="1"/>
    <col min="7950" max="7950" width="11.7109375" style="139" bestFit="1" customWidth="1"/>
    <col min="7951" max="7951" width="14.28515625" style="139" customWidth="1"/>
    <col min="7952" max="7952" width="13" style="139" bestFit="1" customWidth="1"/>
    <col min="7953" max="7953" width="11.42578125" style="139" bestFit="1" customWidth="1"/>
    <col min="7954" max="8193" width="9.140625" style="139"/>
    <col min="8194" max="8203" width="11.7109375" style="139" bestFit="1" customWidth="1"/>
    <col min="8204" max="8205" width="12.5703125" style="139" bestFit="1" customWidth="1"/>
    <col min="8206" max="8206" width="11.7109375" style="139" bestFit="1" customWidth="1"/>
    <col min="8207" max="8207" width="14.28515625" style="139" customWidth="1"/>
    <col min="8208" max="8208" width="13" style="139" bestFit="1" customWidth="1"/>
    <col min="8209" max="8209" width="11.42578125" style="139" bestFit="1" customWidth="1"/>
    <col min="8210" max="8449" width="9.140625" style="139"/>
    <col min="8450" max="8459" width="11.7109375" style="139" bestFit="1" customWidth="1"/>
    <col min="8460" max="8461" width="12.5703125" style="139" bestFit="1" customWidth="1"/>
    <col min="8462" max="8462" width="11.7109375" style="139" bestFit="1" customWidth="1"/>
    <col min="8463" max="8463" width="14.28515625" style="139" customWidth="1"/>
    <col min="8464" max="8464" width="13" style="139" bestFit="1" customWidth="1"/>
    <col min="8465" max="8465" width="11.42578125" style="139" bestFit="1" customWidth="1"/>
    <col min="8466" max="8705" width="9.140625" style="139"/>
    <col min="8706" max="8715" width="11.7109375" style="139" bestFit="1" customWidth="1"/>
    <col min="8716" max="8717" width="12.5703125" style="139" bestFit="1" customWidth="1"/>
    <col min="8718" max="8718" width="11.7109375" style="139" bestFit="1" customWidth="1"/>
    <col min="8719" max="8719" width="14.28515625" style="139" customWidth="1"/>
    <col min="8720" max="8720" width="13" style="139" bestFit="1" customWidth="1"/>
    <col min="8721" max="8721" width="11.42578125" style="139" bestFit="1" customWidth="1"/>
    <col min="8722" max="8961" width="9.140625" style="139"/>
    <col min="8962" max="8971" width="11.7109375" style="139" bestFit="1" customWidth="1"/>
    <col min="8972" max="8973" width="12.5703125" style="139" bestFit="1" customWidth="1"/>
    <col min="8974" max="8974" width="11.7109375" style="139" bestFit="1" customWidth="1"/>
    <col min="8975" max="8975" width="14.28515625" style="139" customWidth="1"/>
    <col min="8976" max="8976" width="13" style="139" bestFit="1" customWidth="1"/>
    <col min="8977" max="8977" width="11.42578125" style="139" bestFit="1" customWidth="1"/>
    <col min="8978" max="9217" width="9.140625" style="139"/>
    <col min="9218" max="9227" width="11.7109375" style="139" bestFit="1" customWidth="1"/>
    <col min="9228" max="9229" width="12.5703125" style="139" bestFit="1" customWidth="1"/>
    <col min="9230" max="9230" width="11.7109375" style="139" bestFit="1" customWidth="1"/>
    <col min="9231" max="9231" width="14.28515625" style="139" customWidth="1"/>
    <col min="9232" max="9232" width="13" style="139" bestFit="1" customWidth="1"/>
    <col min="9233" max="9233" width="11.42578125" style="139" bestFit="1" customWidth="1"/>
    <col min="9234" max="9473" width="9.140625" style="139"/>
    <col min="9474" max="9483" width="11.7109375" style="139" bestFit="1" customWidth="1"/>
    <col min="9484" max="9485" width="12.5703125" style="139" bestFit="1" customWidth="1"/>
    <col min="9486" max="9486" width="11.7109375" style="139" bestFit="1" customWidth="1"/>
    <col min="9487" max="9487" width="14.28515625" style="139" customWidth="1"/>
    <col min="9488" max="9488" width="13" style="139" bestFit="1" customWidth="1"/>
    <col min="9489" max="9489" width="11.42578125" style="139" bestFit="1" customWidth="1"/>
    <col min="9490" max="9729" width="9.140625" style="139"/>
    <col min="9730" max="9739" width="11.7109375" style="139" bestFit="1" customWidth="1"/>
    <col min="9740" max="9741" width="12.5703125" style="139" bestFit="1" customWidth="1"/>
    <col min="9742" max="9742" width="11.7109375" style="139" bestFit="1" customWidth="1"/>
    <col min="9743" max="9743" width="14.28515625" style="139" customWidth="1"/>
    <col min="9744" max="9744" width="13" style="139" bestFit="1" customWidth="1"/>
    <col min="9745" max="9745" width="11.42578125" style="139" bestFit="1" customWidth="1"/>
    <col min="9746" max="9985" width="9.140625" style="139"/>
    <col min="9986" max="9995" width="11.7109375" style="139" bestFit="1" customWidth="1"/>
    <col min="9996" max="9997" width="12.5703125" style="139" bestFit="1" customWidth="1"/>
    <col min="9998" max="9998" width="11.7109375" style="139" bestFit="1" customWidth="1"/>
    <col min="9999" max="9999" width="14.28515625" style="139" customWidth="1"/>
    <col min="10000" max="10000" width="13" style="139" bestFit="1" customWidth="1"/>
    <col min="10001" max="10001" width="11.42578125" style="139" bestFit="1" customWidth="1"/>
    <col min="10002" max="10241" width="9.140625" style="139"/>
    <col min="10242" max="10251" width="11.7109375" style="139" bestFit="1" customWidth="1"/>
    <col min="10252" max="10253" width="12.5703125" style="139" bestFit="1" customWidth="1"/>
    <col min="10254" max="10254" width="11.7109375" style="139" bestFit="1" customWidth="1"/>
    <col min="10255" max="10255" width="14.28515625" style="139" customWidth="1"/>
    <col min="10256" max="10256" width="13" style="139" bestFit="1" customWidth="1"/>
    <col min="10257" max="10257" width="11.42578125" style="139" bestFit="1" customWidth="1"/>
    <col min="10258" max="10497" width="9.140625" style="139"/>
    <col min="10498" max="10507" width="11.7109375" style="139" bestFit="1" customWidth="1"/>
    <col min="10508" max="10509" width="12.5703125" style="139" bestFit="1" customWidth="1"/>
    <col min="10510" max="10510" width="11.7109375" style="139" bestFit="1" customWidth="1"/>
    <col min="10511" max="10511" width="14.28515625" style="139" customWidth="1"/>
    <col min="10512" max="10512" width="13" style="139" bestFit="1" customWidth="1"/>
    <col min="10513" max="10513" width="11.42578125" style="139" bestFit="1" customWidth="1"/>
    <col min="10514" max="10753" width="9.140625" style="139"/>
    <col min="10754" max="10763" width="11.7109375" style="139" bestFit="1" customWidth="1"/>
    <col min="10764" max="10765" width="12.5703125" style="139" bestFit="1" customWidth="1"/>
    <col min="10766" max="10766" width="11.7109375" style="139" bestFit="1" customWidth="1"/>
    <col min="10767" max="10767" width="14.28515625" style="139" customWidth="1"/>
    <col min="10768" max="10768" width="13" style="139" bestFit="1" customWidth="1"/>
    <col min="10769" max="10769" width="11.42578125" style="139" bestFit="1" customWidth="1"/>
    <col min="10770" max="11009" width="9.140625" style="139"/>
    <col min="11010" max="11019" width="11.7109375" style="139" bestFit="1" customWidth="1"/>
    <col min="11020" max="11021" width="12.5703125" style="139" bestFit="1" customWidth="1"/>
    <col min="11022" max="11022" width="11.7109375" style="139" bestFit="1" customWidth="1"/>
    <col min="11023" max="11023" width="14.28515625" style="139" customWidth="1"/>
    <col min="11024" max="11024" width="13" style="139" bestFit="1" customWidth="1"/>
    <col min="11025" max="11025" width="11.42578125" style="139" bestFit="1" customWidth="1"/>
    <col min="11026" max="11265" width="9.140625" style="139"/>
    <col min="11266" max="11275" width="11.7109375" style="139" bestFit="1" customWidth="1"/>
    <col min="11276" max="11277" width="12.5703125" style="139" bestFit="1" customWidth="1"/>
    <col min="11278" max="11278" width="11.7109375" style="139" bestFit="1" customWidth="1"/>
    <col min="11279" max="11279" width="14.28515625" style="139" customWidth="1"/>
    <col min="11280" max="11280" width="13" style="139" bestFit="1" customWidth="1"/>
    <col min="11281" max="11281" width="11.42578125" style="139" bestFit="1" customWidth="1"/>
    <col min="11282" max="11521" width="9.140625" style="139"/>
    <col min="11522" max="11531" width="11.7109375" style="139" bestFit="1" customWidth="1"/>
    <col min="11532" max="11533" width="12.5703125" style="139" bestFit="1" customWidth="1"/>
    <col min="11534" max="11534" width="11.7109375" style="139" bestFit="1" customWidth="1"/>
    <col min="11535" max="11535" width="14.28515625" style="139" customWidth="1"/>
    <col min="11536" max="11536" width="13" style="139" bestFit="1" customWidth="1"/>
    <col min="11537" max="11537" width="11.42578125" style="139" bestFit="1" customWidth="1"/>
    <col min="11538" max="11777" width="9.140625" style="139"/>
    <col min="11778" max="11787" width="11.7109375" style="139" bestFit="1" customWidth="1"/>
    <col min="11788" max="11789" width="12.5703125" style="139" bestFit="1" customWidth="1"/>
    <col min="11790" max="11790" width="11.7109375" style="139" bestFit="1" customWidth="1"/>
    <col min="11791" max="11791" width="14.28515625" style="139" customWidth="1"/>
    <col min="11792" max="11792" width="13" style="139" bestFit="1" customWidth="1"/>
    <col min="11793" max="11793" width="11.42578125" style="139" bestFit="1" customWidth="1"/>
    <col min="11794" max="12033" width="9.140625" style="139"/>
    <col min="12034" max="12043" width="11.7109375" style="139" bestFit="1" customWidth="1"/>
    <col min="12044" max="12045" width="12.5703125" style="139" bestFit="1" customWidth="1"/>
    <col min="12046" max="12046" width="11.7109375" style="139" bestFit="1" customWidth="1"/>
    <col min="12047" max="12047" width="14.28515625" style="139" customWidth="1"/>
    <col min="12048" max="12048" width="13" style="139" bestFit="1" customWidth="1"/>
    <col min="12049" max="12049" width="11.42578125" style="139" bestFit="1" customWidth="1"/>
    <col min="12050" max="12289" width="9.140625" style="139"/>
    <col min="12290" max="12299" width="11.7109375" style="139" bestFit="1" customWidth="1"/>
    <col min="12300" max="12301" width="12.5703125" style="139" bestFit="1" customWidth="1"/>
    <col min="12302" max="12302" width="11.7109375" style="139" bestFit="1" customWidth="1"/>
    <col min="12303" max="12303" width="14.28515625" style="139" customWidth="1"/>
    <col min="12304" max="12304" width="13" style="139" bestFit="1" customWidth="1"/>
    <col min="12305" max="12305" width="11.42578125" style="139" bestFit="1" customWidth="1"/>
    <col min="12306" max="12545" width="9.140625" style="139"/>
    <col min="12546" max="12555" width="11.7109375" style="139" bestFit="1" customWidth="1"/>
    <col min="12556" max="12557" width="12.5703125" style="139" bestFit="1" customWidth="1"/>
    <col min="12558" max="12558" width="11.7109375" style="139" bestFit="1" customWidth="1"/>
    <col min="12559" max="12559" width="14.28515625" style="139" customWidth="1"/>
    <col min="12560" max="12560" width="13" style="139" bestFit="1" customWidth="1"/>
    <col min="12561" max="12561" width="11.42578125" style="139" bestFit="1" customWidth="1"/>
    <col min="12562" max="12801" width="9.140625" style="139"/>
    <col min="12802" max="12811" width="11.7109375" style="139" bestFit="1" customWidth="1"/>
    <col min="12812" max="12813" width="12.5703125" style="139" bestFit="1" customWidth="1"/>
    <col min="12814" max="12814" width="11.7109375" style="139" bestFit="1" customWidth="1"/>
    <col min="12815" max="12815" width="14.28515625" style="139" customWidth="1"/>
    <col min="12816" max="12816" width="13" style="139" bestFit="1" customWidth="1"/>
    <col min="12817" max="12817" width="11.42578125" style="139" bestFit="1" customWidth="1"/>
    <col min="12818" max="13057" width="9.140625" style="139"/>
    <col min="13058" max="13067" width="11.7109375" style="139" bestFit="1" customWidth="1"/>
    <col min="13068" max="13069" width="12.5703125" style="139" bestFit="1" customWidth="1"/>
    <col min="13070" max="13070" width="11.7109375" style="139" bestFit="1" customWidth="1"/>
    <col min="13071" max="13071" width="14.28515625" style="139" customWidth="1"/>
    <col min="13072" max="13072" width="13" style="139" bestFit="1" customWidth="1"/>
    <col min="13073" max="13073" width="11.42578125" style="139" bestFit="1" customWidth="1"/>
    <col min="13074" max="13313" width="9.140625" style="139"/>
    <col min="13314" max="13323" width="11.7109375" style="139" bestFit="1" customWidth="1"/>
    <col min="13324" max="13325" width="12.5703125" style="139" bestFit="1" customWidth="1"/>
    <col min="13326" max="13326" width="11.7109375" style="139" bestFit="1" customWidth="1"/>
    <col min="13327" max="13327" width="14.28515625" style="139" customWidth="1"/>
    <col min="13328" max="13328" width="13" style="139" bestFit="1" customWidth="1"/>
    <col min="13329" max="13329" width="11.42578125" style="139" bestFit="1" customWidth="1"/>
    <col min="13330" max="13569" width="9.140625" style="139"/>
    <col min="13570" max="13579" width="11.7109375" style="139" bestFit="1" customWidth="1"/>
    <col min="13580" max="13581" width="12.5703125" style="139" bestFit="1" customWidth="1"/>
    <col min="13582" max="13582" width="11.7109375" style="139" bestFit="1" customWidth="1"/>
    <col min="13583" max="13583" width="14.28515625" style="139" customWidth="1"/>
    <col min="13584" max="13584" width="13" style="139" bestFit="1" customWidth="1"/>
    <col min="13585" max="13585" width="11.42578125" style="139" bestFit="1" customWidth="1"/>
    <col min="13586" max="13825" width="9.140625" style="139"/>
    <col min="13826" max="13835" width="11.7109375" style="139" bestFit="1" customWidth="1"/>
    <col min="13836" max="13837" width="12.5703125" style="139" bestFit="1" customWidth="1"/>
    <col min="13838" max="13838" width="11.7109375" style="139" bestFit="1" customWidth="1"/>
    <col min="13839" max="13839" width="14.28515625" style="139" customWidth="1"/>
    <col min="13840" max="13840" width="13" style="139" bestFit="1" customWidth="1"/>
    <col min="13841" max="13841" width="11.42578125" style="139" bestFit="1" customWidth="1"/>
    <col min="13842" max="14081" width="9.140625" style="139"/>
    <col min="14082" max="14091" width="11.7109375" style="139" bestFit="1" customWidth="1"/>
    <col min="14092" max="14093" width="12.5703125" style="139" bestFit="1" customWidth="1"/>
    <col min="14094" max="14094" width="11.7109375" style="139" bestFit="1" customWidth="1"/>
    <col min="14095" max="14095" width="14.28515625" style="139" customWidth="1"/>
    <col min="14096" max="14096" width="13" style="139" bestFit="1" customWidth="1"/>
    <col min="14097" max="14097" width="11.42578125" style="139" bestFit="1" customWidth="1"/>
    <col min="14098" max="14337" width="9.140625" style="139"/>
    <col min="14338" max="14347" width="11.7109375" style="139" bestFit="1" customWidth="1"/>
    <col min="14348" max="14349" width="12.5703125" style="139" bestFit="1" customWidth="1"/>
    <col min="14350" max="14350" width="11.7109375" style="139" bestFit="1" customWidth="1"/>
    <col min="14351" max="14351" width="14.28515625" style="139" customWidth="1"/>
    <col min="14352" max="14352" width="13" style="139" bestFit="1" customWidth="1"/>
    <col min="14353" max="14353" width="11.42578125" style="139" bestFit="1" customWidth="1"/>
    <col min="14354" max="14593" width="9.140625" style="139"/>
    <col min="14594" max="14603" width="11.7109375" style="139" bestFit="1" customWidth="1"/>
    <col min="14604" max="14605" width="12.5703125" style="139" bestFit="1" customWidth="1"/>
    <col min="14606" max="14606" width="11.7109375" style="139" bestFit="1" customWidth="1"/>
    <col min="14607" max="14607" width="14.28515625" style="139" customWidth="1"/>
    <col min="14608" max="14608" width="13" style="139" bestFit="1" customWidth="1"/>
    <col min="14609" max="14609" width="11.42578125" style="139" bestFit="1" customWidth="1"/>
    <col min="14610" max="14849" width="9.140625" style="139"/>
    <col min="14850" max="14859" width="11.7109375" style="139" bestFit="1" customWidth="1"/>
    <col min="14860" max="14861" width="12.5703125" style="139" bestFit="1" customWidth="1"/>
    <col min="14862" max="14862" width="11.7109375" style="139" bestFit="1" customWidth="1"/>
    <col min="14863" max="14863" width="14.28515625" style="139" customWidth="1"/>
    <col min="14864" max="14864" width="13" style="139" bestFit="1" customWidth="1"/>
    <col min="14865" max="14865" width="11.42578125" style="139" bestFit="1" customWidth="1"/>
    <col min="14866" max="15105" width="9.140625" style="139"/>
    <col min="15106" max="15115" width="11.7109375" style="139" bestFit="1" customWidth="1"/>
    <col min="15116" max="15117" width="12.5703125" style="139" bestFit="1" customWidth="1"/>
    <col min="15118" max="15118" width="11.7109375" style="139" bestFit="1" customWidth="1"/>
    <col min="15119" max="15119" width="14.28515625" style="139" customWidth="1"/>
    <col min="15120" max="15120" width="13" style="139" bestFit="1" customWidth="1"/>
    <col min="15121" max="15121" width="11.42578125" style="139" bestFit="1" customWidth="1"/>
    <col min="15122" max="15361" width="9.140625" style="139"/>
    <col min="15362" max="15371" width="11.7109375" style="139" bestFit="1" customWidth="1"/>
    <col min="15372" max="15373" width="12.5703125" style="139" bestFit="1" customWidth="1"/>
    <col min="15374" max="15374" width="11.7109375" style="139" bestFit="1" customWidth="1"/>
    <col min="15375" max="15375" width="14.28515625" style="139" customWidth="1"/>
    <col min="15376" max="15376" width="13" style="139" bestFit="1" customWidth="1"/>
    <col min="15377" max="15377" width="11.42578125" style="139" bestFit="1" customWidth="1"/>
    <col min="15378" max="15617" width="9.140625" style="139"/>
    <col min="15618" max="15627" width="11.7109375" style="139" bestFit="1" customWidth="1"/>
    <col min="15628" max="15629" width="12.5703125" style="139" bestFit="1" customWidth="1"/>
    <col min="15630" max="15630" width="11.7109375" style="139" bestFit="1" customWidth="1"/>
    <col min="15631" max="15631" width="14.28515625" style="139" customWidth="1"/>
    <col min="15632" max="15632" width="13" style="139" bestFit="1" customWidth="1"/>
    <col min="15633" max="15633" width="11.42578125" style="139" bestFit="1" customWidth="1"/>
    <col min="15634" max="15873" width="9.140625" style="139"/>
    <col min="15874" max="15883" width="11.7109375" style="139" bestFit="1" customWidth="1"/>
    <col min="15884" max="15885" width="12.5703125" style="139" bestFit="1" customWidth="1"/>
    <col min="15886" max="15886" width="11.7109375" style="139" bestFit="1" customWidth="1"/>
    <col min="15887" max="15887" width="14.28515625" style="139" customWidth="1"/>
    <col min="15888" max="15888" width="13" style="139" bestFit="1" customWidth="1"/>
    <col min="15889" max="15889" width="11.42578125" style="139" bestFit="1" customWidth="1"/>
    <col min="15890" max="16129" width="9.140625" style="139"/>
    <col min="16130" max="16139" width="11.7109375" style="139" bestFit="1" customWidth="1"/>
    <col min="16140" max="16141" width="12.5703125" style="139" bestFit="1" customWidth="1"/>
    <col min="16142" max="16142" width="11.7109375" style="139" bestFit="1" customWidth="1"/>
    <col min="16143" max="16143" width="14.28515625" style="139" customWidth="1"/>
    <col min="16144" max="16144" width="13" style="139" bestFit="1" customWidth="1"/>
    <col min="16145" max="16145" width="11.42578125" style="139" bestFit="1" customWidth="1"/>
    <col min="16146" max="16384" width="9.140625" style="139"/>
  </cols>
  <sheetData>
    <row r="1" spans="1:17" x14ac:dyDescent="0.2">
      <c r="F1" s="487">
        <f>SUM(C6:K6)/SUM(C4:K4)*100</f>
        <v>121.86</v>
      </c>
    </row>
    <row r="2" spans="1:17" x14ac:dyDescent="0.2">
      <c r="I2" s="628"/>
      <c r="J2" s="628"/>
      <c r="K2" s="628"/>
      <c r="L2" s="628"/>
      <c r="M2" s="628"/>
      <c r="N2" s="628"/>
    </row>
    <row r="3" spans="1:17" ht="13.5" thickBot="1" x14ac:dyDescent="0.25">
      <c r="C3" s="629" t="s">
        <v>268</v>
      </c>
      <c r="D3" s="630" t="s">
        <v>269</v>
      </c>
      <c r="E3" s="630" t="s">
        <v>3</v>
      </c>
      <c r="F3" s="629" t="s">
        <v>21</v>
      </c>
      <c r="G3" s="630" t="s">
        <v>22</v>
      </c>
      <c r="H3" s="630" t="s">
        <v>23</v>
      </c>
      <c r="I3" s="629" t="s">
        <v>24</v>
      </c>
      <c r="J3" s="630" t="s">
        <v>25</v>
      </c>
      <c r="K3" s="630" t="s">
        <v>26</v>
      </c>
      <c r="L3" s="630" t="s">
        <v>46</v>
      </c>
      <c r="M3" s="630" t="s">
        <v>47</v>
      </c>
      <c r="N3" s="630" t="s">
        <v>48</v>
      </c>
      <c r="O3" s="630" t="s">
        <v>298</v>
      </c>
    </row>
    <row r="4" spans="1:17" ht="13.5" thickBot="1" x14ac:dyDescent="0.25">
      <c r="A4" s="1152" t="s">
        <v>299</v>
      </c>
      <c r="B4" s="1152"/>
      <c r="C4" s="631">
        <f>'[6]ФОТ до конца года'!D72</f>
        <v>1039278.51</v>
      </c>
      <c r="D4" s="631">
        <f>'[6]ФОТ до конца года'!H72</f>
        <v>1399033.56</v>
      </c>
      <c r="E4" s="632">
        <f>'[6]ФОТ до конца года'!L72</f>
        <v>1432823.33</v>
      </c>
      <c r="F4" s="631">
        <f>'[6]ФОТ до конца года'!P72</f>
        <v>1466563.59</v>
      </c>
      <c r="G4" s="631">
        <f>'[6]ФОТ до конца года'!T72</f>
        <v>1462977.29</v>
      </c>
      <c r="H4" s="633">
        <f>'[6]ФОТ до конца года'!X72</f>
        <v>1552475.12</v>
      </c>
      <c r="I4" s="631">
        <f>'[6]ФОТ до конца года'!AB72</f>
        <v>1532911.73</v>
      </c>
      <c r="J4" s="631">
        <f>'[6]ФОТ до конца года'!AF72</f>
        <v>1591742.94</v>
      </c>
      <c r="K4" s="633">
        <f>'[6]ФОТ до конца года'!AJ72</f>
        <v>1865482.41</v>
      </c>
      <c r="L4" s="634">
        <f>'[7]4 кв Ожид. 2012'!F34</f>
        <v>1941924.27</v>
      </c>
      <c r="M4" s="634">
        <f>'[7]4 кв Ожид. 2012'!G34</f>
        <v>1903987.87</v>
      </c>
      <c r="N4" s="634">
        <f>'[7]4 кв Ожид. 2012'!H34</f>
        <v>3355238.91</v>
      </c>
      <c r="O4" s="635">
        <f>SUM(C4:N4)</f>
        <v>20544439.530000001</v>
      </c>
      <c r="P4" s="636">
        <f>O4</f>
        <v>20544439.530000001</v>
      </c>
    </row>
    <row r="5" spans="1:17" ht="13.5" thickBot="1" x14ac:dyDescent="0.25">
      <c r="A5" s="1153" t="s">
        <v>237</v>
      </c>
      <c r="B5" s="1153"/>
      <c r="C5" s="637">
        <f>'[6]1 квартал 2012'!B27</f>
        <v>1334631.07</v>
      </c>
      <c r="D5" s="638">
        <f>'[6]1 квартал 2012'!G27</f>
        <v>1912089.19</v>
      </c>
      <c r="E5" s="639">
        <f>'[6]1 квартал 2012'!L27</f>
        <v>1878596.2</v>
      </c>
      <c r="F5" s="637">
        <f>'[6]2 квартал 2012'!B29</f>
        <v>1854108.54</v>
      </c>
      <c r="G5" s="638">
        <f>'[6]2 квартал 2012'!G29</f>
        <v>1846980.81</v>
      </c>
      <c r="H5" s="639">
        <f>'[6]2 квартал 2012'!L29</f>
        <v>1913143.76</v>
      </c>
      <c r="I5" s="637">
        <f>'[6]3 кв 2012'!B29</f>
        <v>1800826.96</v>
      </c>
      <c r="J5" s="638">
        <f>'[6]3 кв 2012'!G29</f>
        <v>1832437.47</v>
      </c>
      <c r="K5" s="639">
        <f>'[6]3 кв 2012'!L29</f>
        <v>1805620.84</v>
      </c>
      <c r="L5" s="640">
        <f>'[7]4 кв Ожид. 2012'!F35</f>
        <v>1823387.46</v>
      </c>
      <c r="M5" s="640">
        <f>'[7]4 кв Ожид. 2012'!G35</f>
        <v>2475940.59</v>
      </c>
      <c r="N5" s="640">
        <f>'[7]4 кв Ожид. 2012'!H35</f>
        <v>3043820.7</v>
      </c>
      <c r="O5" s="635">
        <f>SUM(C5:N5)</f>
        <v>23521583.59</v>
      </c>
      <c r="P5" s="641"/>
    </row>
    <row r="6" spans="1:17" ht="13.5" thickBot="1" x14ac:dyDescent="0.25">
      <c r="A6" s="1154" t="s">
        <v>270</v>
      </c>
      <c r="B6" s="1154"/>
      <c r="C6" s="642">
        <f>C18</f>
        <v>1144937.53</v>
      </c>
      <c r="D6" s="642">
        <f t="shared" ref="D6:H6" si="0">D18</f>
        <v>1635586.96</v>
      </c>
      <c r="E6" s="642">
        <f t="shared" si="0"/>
        <v>2222071.4300000002</v>
      </c>
      <c r="F6" s="642">
        <f t="shared" si="0"/>
        <v>1561450.14</v>
      </c>
      <c r="G6" s="642">
        <f t="shared" si="0"/>
        <v>1555503.7</v>
      </c>
      <c r="H6" s="642">
        <f t="shared" si="0"/>
        <v>2265457.54</v>
      </c>
      <c r="I6" s="637">
        <f>'[6]3 кв 2012'!F35</f>
        <v>1731825.99</v>
      </c>
      <c r="J6" s="637">
        <f>'[6]3 кв 2012'!G35</f>
        <v>1760656.13</v>
      </c>
      <c r="K6" s="637">
        <f>'[6]3 кв 2012'!H35</f>
        <v>2382989.65</v>
      </c>
      <c r="L6" s="642">
        <f>L18</f>
        <v>1768576.72</v>
      </c>
      <c r="M6" s="642">
        <f t="shared" ref="M6:N6" si="1">M18</f>
        <v>2400357.12</v>
      </c>
      <c r="N6" s="642">
        <f t="shared" si="1"/>
        <v>3675836.11</v>
      </c>
      <c r="O6" s="635">
        <f>SUM(C6:N6)</f>
        <v>24105249.02</v>
      </c>
      <c r="P6" s="643">
        <f>O4*110%</f>
        <v>22598883.48</v>
      </c>
    </row>
    <row r="7" spans="1:17" x14ac:dyDescent="0.2">
      <c r="A7" s="1153" t="s">
        <v>271</v>
      </c>
      <c r="B7" s="1153"/>
      <c r="C7" s="1074">
        <f>C6/C4*100</f>
        <v>110.17</v>
      </c>
      <c r="D7" s="1074">
        <f>D6/D4*100</f>
        <v>116.91</v>
      </c>
      <c r="E7" s="1074">
        <f t="shared" ref="E7:P7" si="2">E6/E4*100</f>
        <v>155.08000000000001</v>
      </c>
      <c r="F7" s="1074">
        <f t="shared" si="2"/>
        <v>106.47</v>
      </c>
      <c r="G7" s="1074">
        <f t="shared" si="2"/>
        <v>106.32</v>
      </c>
      <c r="H7" s="1074">
        <f t="shared" si="2"/>
        <v>145.93</v>
      </c>
      <c r="I7" s="1074">
        <f t="shared" si="2"/>
        <v>112.98</v>
      </c>
      <c r="J7" s="1074">
        <f t="shared" si="2"/>
        <v>110.61</v>
      </c>
      <c r="K7" s="1074">
        <f t="shared" si="2"/>
        <v>127.74</v>
      </c>
      <c r="L7" s="735">
        <f t="shared" si="2"/>
        <v>91.07</v>
      </c>
      <c r="M7" s="735">
        <f t="shared" si="2"/>
        <v>126.07</v>
      </c>
      <c r="N7" s="735">
        <f t="shared" si="2"/>
        <v>109.56</v>
      </c>
      <c r="O7" s="736">
        <f t="shared" si="2"/>
        <v>117.33</v>
      </c>
      <c r="P7" s="644">
        <f t="shared" si="2"/>
        <v>110</v>
      </c>
    </row>
    <row r="8" spans="1:17" x14ac:dyDescent="0.2">
      <c r="A8" s="175"/>
      <c r="B8" s="175"/>
      <c r="C8" s="175"/>
      <c r="D8" s="175"/>
      <c r="E8" s="175"/>
      <c r="F8" s="645"/>
      <c r="G8" s="175"/>
      <c r="H8" s="175"/>
      <c r="I8" s="175"/>
      <c r="J8" s="175"/>
      <c r="K8" s="175"/>
      <c r="L8" s="175"/>
      <c r="M8" s="175"/>
      <c r="N8" s="175"/>
      <c r="O8" s="175"/>
      <c r="P8" s="175"/>
    </row>
    <row r="9" spans="1:17" x14ac:dyDescent="0.2">
      <c r="C9" s="646" t="s">
        <v>268</v>
      </c>
      <c r="D9" s="646" t="s">
        <v>269</v>
      </c>
      <c r="E9" s="647" t="s">
        <v>3</v>
      </c>
      <c r="F9" s="646" t="s">
        <v>21</v>
      </c>
      <c r="G9" s="646" t="s">
        <v>22</v>
      </c>
      <c r="H9" s="647" t="s">
        <v>23</v>
      </c>
      <c r="I9" s="646" t="s">
        <v>24</v>
      </c>
      <c r="J9" s="646" t="s">
        <v>25</v>
      </c>
      <c r="K9" s="647" t="s">
        <v>26</v>
      </c>
      <c r="L9" s="648" t="s">
        <v>46</v>
      </c>
      <c r="M9" s="648" t="s">
        <v>47</v>
      </c>
      <c r="N9" s="648" t="s">
        <v>48</v>
      </c>
      <c r="O9" s="175"/>
    </row>
    <row r="10" spans="1:17" ht="22.5" x14ac:dyDescent="0.2">
      <c r="B10" s="649" t="s">
        <v>272</v>
      </c>
      <c r="C10" s="650">
        <f>'[6]1 квартал 2012'!B37</f>
        <v>432805.21</v>
      </c>
      <c r="D10" s="650">
        <f>'[6]1 квартал 2012'!C37</f>
        <v>432805.21</v>
      </c>
      <c r="E10" s="651">
        <f>'[6]1 квартал 2012'!D37</f>
        <v>785488.98</v>
      </c>
      <c r="F10" s="650">
        <f>'[6]2 квартал 2012'!B39</f>
        <v>512469.38</v>
      </c>
      <c r="G10" s="650">
        <f>'[6]2 квартал 2012'!C39</f>
        <v>512469.38</v>
      </c>
      <c r="H10" s="651">
        <f>'[6]2 квартал 2012'!D39</f>
        <v>845550.86</v>
      </c>
      <c r="I10" s="650">
        <f>'[6]3 кв 2012'!B39</f>
        <v>642126.17000000004</v>
      </c>
      <c r="J10" s="650">
        <f>'[6]3 кв 2012'!C39</f>
        <v>608616.67000000004</v>
      </c>
      <c r="K10" s="651">
        <f>'[6]3 кв 2012'!D39</f>
        <v>941061.33</v>
      </c>
      <c r="L10" s="652">
        <f>'[7]4 кв Ожид. 2012'!B40</f>
        <v>593854.62</v>
      </c>
      <c r="M10" s="652">
        <f>'[7]4 кв Ожид. 2012'!C40</f>
        <v>593854.62</v>
      </c>
      <c r="N10" s="652">
        <f>'[7]4 кв Ожид. 2012'!D40</f>
        <v>914193.6</v>
      </c>
      <c r="O10" s="653">
        <f>SUM(C10:N10)</f>
        <v>7815296.0300000003</v>
      </c>
      <c r="P10" s="139">
        <f>O10/$O$18*100</f>
        <v>32.421552764361401</v>
      </c>
    </row>
    <row r="11" spans="1:17" ht="33.75" x14ac:dyDescent="0.2">
      <c r="B11" s="654" t="s">
        <v>261</v>
      </c>
      <c r="C11" s="655">
        <f>'[6]1 квартал 2012'!B38</f>
        <v>281267.53000000003</v>
      </c>
      <c r="D11" s="655">
        <f>'[6]1 квартал 2012'!C38</f>
        <v>281267.53000000003</v>
      </c>
      <c r="E11" s="656">
        <f>'[6]1 квартал 2012'!D38</f>
        <v>460024.33</v>
      </c>
      <c r="F11" s="655">
        <f>'[6]2 квартал 2012'!B40</f>
        <v>276168.32000000001</v>
      </c>
      <c r="G11" s="655">
        <f>'[6]2 квартал 2012'!C40</f>
        <v>276168.32000000001</v>
      </c>
      <c r="H11" s="656">
        <f>'[6]2 квартал 2012'!D40</f>
        <v>442161.98</v>
      </c>
      <c r="I11" s="655">
        <f>'[6]3 кв 2012'!B40</f>
        <v>317152.95</v>
      </c>
      <c r="J11" s="655">
        <f>'[6]3 кв 2012'!C40</f>
        <v>317152.95</v>
      </c>
      <c r="K11" s="656">
        <f>'[6]3 кв 2012'!D40</f>
        <v>484022.43</v>
      </c>
      <c r="L11" s="652">
        <f>'[7]4 кв Ожид. 2012'!B41</f>
        <v>320703.98</v>
      </c>
      <c r="M11" s="652">
        <f>'[7]4 кв Ожид. 2012'!C41</f>
        <v>320703.98</v>
      </c>
      <c r="N11" s="652">
        <f>'[7]4 кв Ожид. 2012'!D41</f>
        <v>549119.39</v>
      </c>
      <c r="O11" s="653">
        <f t="shared" ref="O11:O17" si="3">SUM(C11:N11)</f>
        <v>4325913.6900000004</v>
      </c>
      <c r="P11" s="139">
        <f t="shared" ref="P11:P17" si="4">O11/$O$18*100</f>
        <v>17.945940680433601</v>
      </c>
    </row>
    <row r="12" spans="1:17" ht="56.25" x14ac:dyDescent="0.2">
      <c r="B12" s="737" t="s">
        <v>262</v>
      </c>
      <c r="C12" s="738">
        <f>'[6]1 квартал 2012'!B39</f>
        <v>50549.73</v>
      </c>
      <c r="D12" s="738">
        <f>'[6]1 квартал 2012'!C39</f>
        <v>149267.70000000001</v>
      </c>
      <c r="E12" s="739">
        <f>'[6]1 квартал 2012'!D39</f>
        <v>220395.93</v>
      </c>
      <c r="F12" s="738">
        <f>'[6]2 квартал 2012'!B41</f>
        <v>82055.67</v>
      </c>
      <c r="G12" s="738">
        <f>'[6]2 квартал 2012'!C41</f>
        <v>115491.5</v>
      </c>
      <c r="H12" s="739">
        <f>'[6]2 квартал 2012'!D41</f>
        <v>224913.55</v>
      </c>
      <c r="I12" s="738">
        <f>'[6]3 кв 2012'!B41</f>
        <v>75864.91</v>
      </c>
      <c r="J12" s="738">
        <f>'[6]3 кв 2012'!C41</f>
        <v>140091.38</v>
      </c>
      <c r="K12" s="739">
        <f>'[6]3 кв 2012'!D41</f>
        <v>168702.39</v>
      </c>
      <c r="L12" s="652">
        <f>'[7]4 кв Ожид. 2012'!B42</f>
        <v>104948.8</v>
      </c>
      <c r="M12" s="652">
        <f>'[7]4 кв Ожид. 2012'!C42</f>
        <v>104948.8</v>
      </c>
      <c r="N12" s="652">
        <f>'[7]4 кв Ожид. 2012'!D42</f>
        <v>163484.53</v>
      </c>
      <c r="O12" s="653">
        <f t="shared" si="3"/>
        <v>1600714.89</v>
      </c>
      <c r="P12" s="139">
        <f t="shared" si="4"/>
        <v>6.6405241807371302</v>
      </c>
      <c r="Q12" s="657"/>
    </row>
    <row r="13" spans="1:17" ht="56.25" x14ac:dyDescent="0.2">
      <c r="B13" s="658" t="s">
        <v>263</v>
      </c>
      <c r="C13" s="659">
        <f>'[6]1 квартал 2012'!B40</f>
        <v>34798.36</v>
      </c>
      <c r="D13" s="659">
        <f>'[6]1 квартал 2012'!C40</f>
        <v>37851.43</v>
      </c>
      <c r="E13" s="660">
        <f>'[6]1 квартал 2012'!D40</f>
        <v>56691.38</v>
      </c>
      <c r="F13" s="659">
        <f>'[6]2 квартал 2012'!B42</f>
        <v>41809.56</v>
      </c>
      <c r="G13" s="659">
        <f>'[6]2 квартал 2012'!C42</f>
        <v>41156.18</v>
      </c>
      <c r="H13" s="660">
        <f>'[6]2 квартал 2012'!D42</f>
        <v>68024.399999999994</v>
      </c>
      <c r="I13" s="659">
        <f>'[6]3 кв 2012'!B42</f>
        <v>59619.9</v>
      </c>
      <c r="J13" s="659">
        <f>'[6]3 кв 2012'!C42</f>
        <v>60444.37</v>
      </c>
      <c r="K13" s="660">
        <f>'[6]3 кв 2012'!D42</f>
        <v>74437.070000000007</v>
      </c>
      <c r="L13" s="652">
        <f>'[7]4 кв Ожид. 2012'!B43</f>
        <v>49287.69</v>
      </c>
      <c r="M13" s="652">
        <f>'[7]4 кв Ожид. 2012'!C43</f>
        <v>339737.79</v>
      </c>
      <c r="N13" s="652">
        <f>'[7]4 кв Ожид. 2012'!D43</f>
        <v>118089.15</v>
      </c>
      <c r="O13" s="653">
        <f t="shared" si="3"/>
        <v>981947.28</v>
      </c>
      <c r="P13" s="139">
        <f t="shared" si="4"/>
        <v>4.0735828083969698</v>
      </c>
    </row>
    <row r="14" spans="1:17" ht="45" x14ac:dyDescent="0.2">
      <c r="B14" s="661" t="s">
        <v>264</v>
      </c>
      <c r="C14" s="662">
        <f>'[6]1 квартал 2012'!B41</f>
        <v>15166.63</v>
      </c>
      <c r="D14" s="662">
        <f>'[6]1 квартал 2012'!C41</f>
        <v>26508.15</v>
      </c>
      <c r="E14" s="663">
        <f>'[6]1 квартал 2012'!D41</f>
        <v>59676.36</v>
      </c>
      <c r="F14" s="662">
        <f>'[6]2 квартал 2012'!B43</f>
        <v>48114.37</v>
      </c>
      <c r="G14" s="662">
        <f>'[6]2 квартал 2012'!C43</f>
        <v>10888.96</v>
      </c>
      <c r="H14" s="663">
        <f>'[6]2 квартал 2012'!D43</f>
        <v>70552.92</v>
      </c>
      <c r="I14" s="662">
        <f>'[6]3 кв 2012'!B43</f>
        <v>9398.64</v>
      </c>
      <c r="J14" s="662">
        <f>'[6]3 кв 2012'!C43</f>
        <v>8415.14</v>
      </c>
      <c r="K14" s="663">
        <f>'[6]3 кв 2012'!D43</f>
        <v>51842.32</v>
      </c>
      <c r="L14" s="652">
        <f>'[7]4 кв Ожид. 2012'!B44</f>
        <v>21499.52</v>
      </c>
      <c r="M14" s="652">
        <f>'[7]4 кв Ожид. 2012'!C44</f>
        <v>363493.57</v>
      </c>
      <c r="N14" s="652">
        <f>'[7]4 кв Ожид. 2012'!D44</f>
        <v>121776.9</v>
      </c>
      <c r="O14" s="653">
        <f t="shared" si="3"/>
        <v>807333.48</v>
      </c>
      <c r="P14" s="139">
        <f t="shared" si="4"/>
        <v>3.3492019905297798</v>
      </c>
    </row>
    <row r="15" spans="1:17" x14ac:dyDescent="0.2">
      <c r="B15" s="740" t="s">
        <v>265</v>
      </c>
      <c r="C15" s="741">
        <f>'[6]1 квартал 2012'!B42</f>
        <v>63667.8</v>
      </c>
      <c r="D15" s="741">
        <f>'[6]1 квартал 2012'!C42</f>
        <v>73440.149999999994</v>
      </c>
      <c r="E15" s="742">
        <f>'[6]1 квартал 2012'!D42</f>
        <v>129260.13</v>
      </c>
      <c r="F15" s="741">
        <f>'[6]2 квартал 2012'!B44</f>
        <v>72357.89</v>
      </c>
      <c r="G15" s="741">
        <f>'[6]2 квартал 2012'!C44</f>
        <v>71112.53</v>
      </c>
      <c r="H15" s="742">
        <f>'[6]2 квартал 2012'!D44</f>
        <v>121210.85</v>
      </c>
      <c r="I15" s="741">
        <f>'[6]3 кв 2012'!B44</f>
        <v>88000.38</v>
      </c>
      <c r="J15" s="741">
        <f>'[6]3 кв 2012'!C44</f>
        <v>91178.76</v>
      </c>
      <c r="K15" s="742">
        <f>'[6]3 кв 2012'!D44</f>
        <v>125667.03</v>
      </c>
      <c r="L15" s="652">
        <f>'[7]4 кв Ожид. 2012'!B45</f>
        <v>87789.15</v>
      </c>
      <c r="M15" s="652">
        <f>'[7]4 кв Ожид. 2012'!C45</f>
        <v>87789.15</v>
      </c>
      <c r="N15" s="652">
        <f>'[7]4 кв Ожид. 2012'!D45</f>
        <v>130084.98</v>
      </c>
      <c r="O15" s="653">
        <f t="shared" si="3"/>
        <v>1141558.8</v>
      </c>
      <c r="P15" s="139">
        <f t="shared" si="4"/>
        <v>4.7357270570109202</v>
      </c>
    </row>
    <row r="16" spans="1:17" ht="22.5" x14ac:dyDescent="0.2">
      <c r="B16" s="664" t="s">
        <v>266</v>
      </c>
      <c r="C16" s="665">
        <f>'[6]1 квартал 2012'!B43</f>
        <v>204825.08</v>
      </c>
      <c r="D16" s="665">
        <f>'[6]1 квартал 2012'!C43</f>
        <v>487286.32</v>
      </c>
      <c r="E16" s="666">
        <f>'[6]1 квартал 2012'!D43</f>
        <v>392115.46</v>
      </c>
      <c r="F16" s="665">
        <f>'[6]2 квартал 2012'!B45</f>
        <v>405904.42</v>
      </c>
      <c r="G16" s="665">
        <f>'[6]2 квартал 2012'!C45</f>
        <v>409582.74</v>
      </c>
      <c r="H16" s="666">
        <f>'[6]2 квартал 2012'!D45</f>
        <v>408025.47</v>
      </c>
      <c r="I16" s="665">
        <f>'[6]3 кв 2012'!B45</f>
        <v>467729.95</v>
      </c>
      <c r="J16" s="665">
        <f>'[6]3 кв 2012'!C45</f>
        <v>472689.19</v>
      </c>
      <c r="K16" s="666">
        <f>'[6]3 кв 2012'!D45</f>
        <v>474492.58</v>
      </c>
      <c r="L16" s="652">
        <f>'[7]4 кв Ожид. 2012'!B46</f>
        <v>521938.81</v>
      </c>
      <c r="M16" s="652">
        <f>'[7]4 кв Ожид. 2012'!C46</f>
        <v>521429.01</v>
      </c>
      <c r="N16" s="652">
        <f>'[7]4 кв Ожид. 2012'!D46</f>
        <v>1510340.52</v>
      </c>
      <c r="O16" s="653">
        <f t="shared" si="3"/>
        <v>6276359.5499999998</v>
      </c>
      <c r="P16" s="139">
        <f t="shared" si="4"/>
        <v>26.037314714287099</v>
      </c>
    </row>
    <row r="17" spans="2:16" ht="33.75" x14ac:dyDescent="0.2">
      <c r="B17" s="664" t="s">
        <v>273</v>
      </c>
      <c r="C17" s="665">
        <f>'[6]1 квартал 2012'!B44</f>
        <v>61857.19</v>
      </c>
      <c r="D17" s="665">
        <f>'[6]1 квартал 2012'!C44</f>
        <v>147160.47</v>
      </c>
      <c r="E17" s="666">
        <f>'[6]1 квартал 2012'!D44</f>
        <v>118418.86</v>
      </c>
      <c r="F17" s="665">
        <f>'[6]2 квартал 2012'!B46</f>
        <v>122570.53</v>
      </c>
      <c r="G17" s="665">
        <f>'[6]2 квартал 2012'!C46</f>
        <v>118634.09</v>
      </c>
      <c r="H17" s="666">
        <f>'[6]2 квартал 2012'!D46</f>
        <v>85017.51</v>
      </c>
      <c r="I17" s="665">
        <f>'[6]3 кв 2012'!B46</f>
        <v>71933.09</v>
      </c>
      <c r="J17" s="665">
        <f>'[6]3 кв 2012'!C46</f>
        <v>62067.67</v>
      </c>
      <c r="K17" s="666">
        <f>'[6]3 кв 2012'!D46</f>
        <v>62764.5</v>
      </c>
      <c r="L17" s="652">
        <f>'[7]4 кв Ожид. 2012'!B47</f>
        <v>68554.149999999994</v>
      </c>
      <c r="M17" s="652">
        <f>'[7]4 кв Ожид. 2012'!C47</f>
        <v>68400.2</v>
      </c>
      <c r="N17" s="652">
        <f>'[7]4 кв Ожид. 2012'!D47</f>
        <v>168747.04</v>
      </c>
      <c r="O17" s="653">
        <f t="shared" si="3"/>
        <v>1156125.3</v>
      </c>
      <c r="P17" s="139">
        <f t="shared" si="4"/>
        <v>4.7961558042431696</v>
      </c>
    </row>
    <row r="18" spans="2:16" x14ac:dyDescent="0.2">
      <c r="B18" s="667" t="s">
        <v>274</v>
      </c>
      <c r="C18" s="668">
        <f>SUM(C10:C17)</f>
        <v>1144937.53</v>
      </c>
      <c r="D18" s="668">
        <f t="shared" ref="D18:K18" si="5">SUM(D10:D17)</f>
        <v>1635586.96</v>
      </c>
      <c r="E18" s="668">
        <f t="shared" si="5"/>
        <v>2222071.4300000002</v>
      </c>
      <c r="F18" s="668">
        <f t="shared" si="5"/>
        <v>1561450.14</v>
      </c>
      <c r="G18" s="668">
        <f t="shared" si="5"/>
        <v>1555503.7</v>
      </c>
      <c r="H18" s="668">
        <f t="shared" si="5"/>
        <v>2265457.54</v>
      </c>
      <c r="I18" s="668">
        <f t="shared" si="5"/>
        <v>1731825.99</v>
      </c>
      <c r="J18" s="668">
        <f t="shared" si="5"/>
        <v>1760656.13</v>
      </c>
      <c r="K18" s="668">
        <f t="shared" si="5"/>
        <v>2382989.65</v>
      </c>
      <c r="L18" s="668">
        <f>SUM(L10:L17)</f>
        <v>1768576.72</v>
      </c>
      <c r="M18" s="668">
        <f>SUM(M10:M17)</f>
        <v>2400357.12</v>
      </c>
      <c r="N18" s="668">
        <f>SUM(N10:N17)</f>
        <v>3675836.11</v>
      </c>
      <c r="O18" s="669">
        <f>SUM(C18:N18)</f>
        <v>24105249.02</v>
      </c>
      <c r="P18" s="743">
        <f>SUM(P10:P17)</f>
        <v>100</v>
      </c>
    </row>
    <row r="19" spans="2:16" x14ac:dyDescent="0.2">
      <c r="B19" s="1014"/>
      <c r="C19" s="1030"/>
      <c r="D19" s="1030"/>
      <c r="E19" s="1030"/>
      <c r="F19" s="1030"/>
      <c r="G19" s="1030"/>
      <c r="H19" s="1030"/>
      <c r="I19" s="1030"/>
      <c r="J19" s="1030"/>
      <c r="K19" s="1030"/>
      <c r="L19" s="1030"/>
      <c r="M19" s="1030"/>
      <c r="N19" s="1030"/>
      <c r="O19" s="669"/>
      <c r="P19" s="1016"/>
    </row>
    <row r="20" spans="2:16" x14ac:dyDescent="0.2">
      <c r="B20" s="1014"/>
      <c r="C20" s="1015"/>
      <c r="D20" s="1015"/>
      <c r="E20" s="1015"/>
      <c r="F20" s="1015"/>
      <c r="G20" s="1015"/>
      <c r="H20" s="1015"/>
      <c r="I20" s="1015"/>
      <c r="J20" s="1015"/>
      <c r="K20" s="1015"/>
      <c r="L20" s="1015"/>
      <c r="M20" s="1015"/>
      <c r="N20" s="1015"/>
      <c r="O20" s="669"/>
      <c r="P20" s="1016"/>
    </row>
    <row r="21" spans="2:16" ht="56.25" x14ac:dyDescent="0.2">
      <c r="B21" s="1014"/>
      <c r="D21" s="649" t="s">
        <v>272</v>
      </c>
      <c r="E21" s="654" t="s">
        <v>261</v>
      </c>
      <c r="F21" s="737" t="s">
        <v>262</v>
      </c>
      <c r="G21" s="1038" t="s">
        <v>263</v>
      </c>
      <c r="H21" s="661" t="s">
        <v>264</v>
      </c>
      <c r="I21" s="740" t="s">
        <v>265</v>
      </c>
      <c r="J21" s="664" t="s">
        <v>266</v>
      </c>
      <c r="K21" s="664" t="s">
        <v>273</v>
      </c>
      <c r="L21" s="667" t="s">
        <v>274</v>
      </c>
      <c r="M21" s="1015"/>
      <c r="N21" s="1015"/>
      <c r="O21" s="669"/>
      <c r="P21" s="1016"/>
    </row>
    <row r="22" spans="2:16" x14ac:dyDescent="0.2">
      <c r="B22" s="1014"/>
      <c r="C22" s="646" t="s">
        <v>268</v>
      </c>
      <c r="D22" s="650">
        <v>432805.21</v>
      </c>
      <c r="E22" s="655">
        <v>281267.53000000003</v>
      </c>
      <c r="F22" s="738">
        <v>50549.73</v>
      </c>
      <c r="G22" s="1039">
        <v>34798.36</v>
      </c>
      <c r="H22" s="662">
        <v>15166.63</v>
      </c>
      <c r="I22" s="741">
        <v>63667.8</v>
      </c>
      <c r="J22" s="665">
        <v>204825.08</v>
      </c>
      <c r="K22" s="665">
        <v>61857.19</v>
      </c>
      <c r="L22" s="668">
        <f t="shared" ref="L22:L33" si="6">SUM(D22:K22)</f>
        <v>1144937.53</v>
      </c>
      <c r="M22" s="1015"/>
      <c r="N22" s="1015"/>
      <c r="O22" s="669"/>
      <c r="P22" s="1016"/>
    </row>
    <row r="23" spans="2:16" x14ac:dyDescent="0.2">
      <c r="B23" s="1014"/>
      <c r="C23" s="646" t="s">
        <v>269</v>
      </c>
      <c r="D23" s="650">
        <v>432805.21</v>
      </c>
      <c r="E23" s="655">
        <v>281267.53000000003</v>
      </c>
      <c r="F23" s="738">
        <v>149267.70000000001</v>
      </c>
      <c r="G23" s="1039">
        <v>37851.43</v>
      </c>
      <c r="H23" s="662">
        <v>26508.15</v>
      </c>
      <c r="I23" s="741">
        <v>73440.149999999994</v>
      </c>
      <c r="J23" s="665">
        <v>487286.32</v>
      </c>
      <c r="K23" s="665">
        <v>147160.47</v>
      </c>
      <c r="L23" s="668">
        <f t="shared" si="6"/>
        <v>1635586.96</v>
      </c>
      <c r="M23" s="1015"/>
      <c r="N23" s="1015"/>
      <c r="O23" s="669"/>
      <c r="P23" s="1016"/>
    </row>
    <row r="24" spans="2:16" x14ac:dyDescent="0.2">
      <c r="B24" s="1014"/>
      <c r="C24" s="647" t="s">
        <v>3</v>
      </c>
      <c r="D24" s="651">
        <v>785488.98</v>
      </c>
      <c r="E24" s="656">
        <v>460024.33</v>
      </c>
      <c r="F24" s="739">
        <v>220395.93</v>
      </c>
      <c r="G24" s="1040">
        <v>56691.38</v>
      </c>
      <c r="H24" s="663">
        <v>59676.36</v>
      </c>
      <c r="I24" s="742">
        <v>129260.13</v>
      </c>
      <c r="J24" s="666">
        <v>392115.46</v>
      </c>
      <c r="K24" s="666">
        <v>118418.86</v>
      </c>
      <c r="L24" s="668">
        <f t="shared" si="6"/>
        <v>2222071.4300000002</v>
      </c>
      <c r="M24" s="1015"/>
      <c r="N24" s="1015"/>
      <c r="O24" s="669"/>
      <c r="P24" s="1016"/>
    </row>
    <row r="25" spans="2:16" x14ac:dyDescent="0.2">
      <c r="B25" s="1014"/>
      <c r="C25" s="646" t="s">
        <v>21</v>
      </c>
      <c r="D25" s="650">
        <v>512469.38</v>
      </c>
      <c r="E25" s="655">
        <v>276168.32000000001</v>
      </c>
      <c r="F25" s="738">
        <v>82055.67</v>
      </c>
      <c r="G25" s="1039">
        <v>41809.56</v>
      </c>
      <c r="H25" s="662">
        <v>48114.37</v>
      </c>
      <c r="I25" s="741">
        <v>72357.89</v>
      </c>
      <c r="J25" s="665">
        <v>405904.42</v>
      </c>
      <c r="K25" s="665">
        <v>122570.53</v>
      </c>
      <c r="L25" s="668">
        <f t="shared" si="6"/>
        <v>1561450.14</v>
      </c>
      <c r="M25" s="1015"/>
      <c r="N25" s="1015"/>
      <c r="O25" s="669"/>
      <c r="P25" s="1016"/>
    </row>
    <row r="26" spans="2:16" x14ac:dyDescent="0.2">
      <c r="B26" s="1014"/>
      <c r="C26" s="646" t="s">
        <v>22</v>
      </c>
      <c r="D26" s="650">
        <v>512469.38</v>
      </c>
      <c r="E26" s="655">
        <v>276168.32000000001</v>
      </c>
      <c r="F26" s="738">
        <v>115491.5</v>
      </c>
      <c r="G26" s="1039">
        <v>41156.18</v>
      </c>
      <c r="H26" s="662">
        <v>10888.96</v>
      </c>
      <c r="I26" s="741">
        <v>71112.53</v>
      </c>
      <c r="J26" s="665">
        <v>409582.74</v>
      </c>
      <c r="K26" s="665">
        <v>118634.09</v>
      </c>
      <c r="L26" s="668">
        <f t="shared" si="6"/>
        <v>1555503.7</v>
      </c>
      <c r="M26" s="1015"/>
      <c r="N26" s="1015"/>
      <c r="O26" s="669"/>
      <c r="P26" s="1016"/>
    </row>
    <row r="27" spans="2:16" x14ac:dyDescent="0.2">
      <c r="B27" s="1014"/>
      <c r="C27" s="647" t="s">
        <v>23</v>
      </c>
      <c r="D27" s="651">
        <v>845550.86</v>
      </c>
      <c r="E27" s="656">
        <v>442161.98</v>
      </c>
      <c r="F27" s="739">
        <v>224913.55</v>
      </c>
      <c r="G27" s="1040">
        <v>68024.399999999994</v>
      </c>
      <c r="H27" s="663">
        <v>70552.92</v>
      </c>
      <c r="I27" s="742">
        <v>121210.85</v>
      </c>
      <c r="J27" s="666">
        <v>408025.47</v>
      </c>
      <c r="K27" s="666">
        <v>85017.51</v>
      </c>
      <c r="L27" s="668">
        <f t="shared" si="6"/>
        <v>2265457.54</v>
      </c>
      <c r="M27" s="1015"/>
      <c r="N27" s="1015"/>
      <c r="O27" s="669"/>
      <c r="P27" s="1016"/>
    </row>
    <row r="28" spans="2:16" x14ac:dyDescent="0.2">
      <c r="B28" s="1014"/>
      <c r="C28" s="646" t="s">
        <v>24</v>
      </c>
      <c r="D28" s="650">
        <v>642126.17000000004</v>
      </c>
      <c r="E28" s="655">
        <v>317152.95</v>
      </c>
      <c r="F28" s="738">
        <v>75864.91</v>
      </c>
      <c r="G28" s="1039">
        <v>59619.9</v>
      </c>
      <c r="H28" s="662">
        <v>9398.64</v>
      </c>
      <c r="I28" s="741">
        <v>88000.38</v>
      </c>
      <c r="J28" s="665">
        <v>467729.95</v>
      </c>
      <c r="K28" s="665">
        <v>71933.09</v>
      </c>
      <c r="L28" s="668">
        <f t="shared" si="6"/>
        <v>1731825.99</v>
      </c>
      <c r="M28" s="1015"/>
      <c r="N28" s="1015"/>
      <c r="O28" s="669"/>
      <c r="P28" s="1016"/>
    </row>
    <row r="29" spans="2:16" x14ac:dyDescent="0.2">
      <c r="B29" s="1014"/>
      <c r="C29" s="646" t="s">
        <v>25</v>
      </c>
      <c r="D29" s="650">
        <v>608616.67000000004</v>
      </c>
      <c r="E29" s="655">
        <v>317152.95</v>
      </c>
      <c r="F29" s="738">
        <v>140091.38</v>
      </c>
      <c r="G29" s="1039">
        <v>60444.37</v>
      </c>
      <c r="H29" s="662">
        <v>8415.14</v>
      </c>
      <c r="I29" s="741">
        <v>91178.76</v>
      </c>
      <c r="J29" s="665">
        <v>472689.19</v>
      </c>
      <c r="K29" s="665">
        <v>62067.67</v>
      </c>
      <c r="L29" s="668">
        <f t="shared" si="6"/>
        <v>1760656.13</v>
      </c>
      <c r="M29" s="1015"/>
      <c r="N29" s="1015"/>
      <c r="O29" s="669"/>
      <c r="P29" s="1016"/>
    </row>
    <row r="30" spans="2:16" x14ac:dyDescent="0.2">
      <c r="B30" s="1014"/>
      <c r="C30" s="647" t="s">
        <v>26</v>
      </c>
      <c r="D30" s="651">
        <v>941061.33</v>
      </c>
      <c r="E30" s="656">
        <v>484022.43</v>
      </c>
      <c r="F30" s="739">
        <v>168702.39</v>
      </c>
      <c r="G30" s="1040">
        <v>74437.070000000007</v>
      </c>
      <c r="H30" s="663">
        <v>51842.32</v>
      </c>
      <c r="I30" s="742">
        <v>125667.03</v>
      </c>
      <c r="J30" s="666">
        <v>474492.58</v>
      </c>
      <c r="K30" s="666">
        <v>62764.5</v>
      </c>
      <c r="L30" s="668">
        <f t="shared" si="6"/>
        <v>2382989.65</v>
      </c>
      <c r="M30" s="1015"/>
      <c r="N30" s="1015"/>
      <c r="O30" s="669"/>
      <c r="P30" s="1016"/>
    </row>
    <row r="31" spans="2:16" x14ac:dyDescent="0.2">
      <c r="B31" s="1014"/>
      <c r="C31" s="648" t="s">
        <v>46</v>
      </c>
      <c r="D31" s="652">
        <v>593854.62</v>
      </c>
      <c r="E31" s="652">
        <v>320703.98</v>
      </c>
      <c r="F31" s="652">
        <v>104948.8</v>
      </c>
      <c r="G31" s="652">
        <v>49287.69</v>
      </c>
      <c r="H31" s="652">
        <v>21499.52</v>
      </c>
      <c r="I31" s="652">
        <v>87789.15</v>
      </c>
      <c r="J31" s="652">
        <v>521938.81</v>
      </c>
      <c r="K31" s="652">
        <v>68554.149999999994</v>
      </c>
      <c r="L31" s="668">
        <f t="shared" si="6"/>
        <v>1768576.72</v>
      </c>
      <c r="M31" s="1015"/>
      <c r="N31" s="1015"/>
      <c r="O31" s="669"/>
      <c r="P31" s="1016"/>
    </row>
    <row r="32" spans="2:16" x14ac:dyDescent="0.2">
      <c r="B32" s="1014"/>
      <c r="C32" s="648" t="s">
        <v>47</v>
      </c>
      <c r="D32" s="652">
        <v>593854.62</v>
      </c>
      <c r="E32" s="652">
        <v>320703.98</v>
      </c>
      <c r="F32" s="652">
        <v>104948.8</v>
      </c>
      <c r="G32" s="652">
        <v>339737.79</v>
      </c>
      <c r="H32" s="652">
        <v>363493.57</v>
      </c>
      <c r="I32" s="652">
        <v>87789.15</v>
      </c>
      <c r="J32" s="652">
        <v>521429.01</v>
      </c>
      <c r="K32" s="652">
        <v>68400.2</v>
      </c>
      <c r="L32" s="668">
        <f t="shared" si="6"/>
        <v>2400357.12</v>
      </c>
      <c r="M32" s="1015"/>
      <c r="N32" s="1015"/>
      <c r="O32" s="669"/>
      <c r="P32" s="1016"/>
    </row>
    <row r="33" spans="2:17" x14ac:dyDescent="0.2">
      <c r="B33" s="1014"/>
      <c r="C33" s="648" t="s">
        <v>48</v>
      </c>
      <c r="D33" s="652">
        <v>914193.6</v>
      </c>
      <c r="E33" s="652">
        <v>549119.39</v>
      </c>
      <c r="F33" s="652">
        <v>163484.53</v>
      </c>
      <c r="G33" s="652">
        <v>118089.15</v>
      </c>
      <c r="H33" s="652">
        <v>121776.9</v>
      </c>
      <c r="I33" s="652">
        <v>130084.98</v>
      </c>
      <c r="J33" s="652">
        <v>1510340.52</v>
      </c>
      <c r="K33" s="652">
        <v>168747.04</v>
      </c>
      <c r="L33" s="668">
        <f t="shared" si="6"/>
        <v>3675836.11</v>
      </c>
      <c r="M33" s="1015"/>
      <c r="N33" s="1015"/>
      <c r="O33" s="669"/>
      <c r="P33" s="1016"/>
    </row>
    <row r="34" spans="2:17" x14ac:dyDescent="0.2">
      <c r="D34" s="670">
        <f>SUM(D24:D30)</f>
        <v>4847782.7699999996</v>
      </c>
      <c r="E34" s="670">
        <f t="shared" ref="E34:K34" si="7">SUM(E24:E30)</f>
        <v>2572851.2799999998</v>
      </c>
      <c r="F34" s="670">
        <f t="shared" si="7"/>
        <v>1027515.33</v>
      </c>
      <c r="G34" s="670">
        <f t="shared" si="7"/>
        <v>402182.86</v>
      </c>
      <c r="H34" s="670">
        <f t="shared" si="7"/>
        <v>258888.71</v>
      </c>
      <c r="I34" s="670">
        <f t="shared" si="7"/>
        <v>698787.57</v>
      </c>
      <c r="J34" s="670">
        <f t="shared" si="7"/>
        <v>3030539.81</v>
      </c>
      <c r="K34" s="670">
        <f t="shared" si="7"/>
        <v>641406.25</v>
      </c>
      <c r="L34" s="670">
        <f>SUM(D34:K34)</f>
        <v>13479954.58</v>
      </c>
    </row>
    <row r="35" spans="2:17" x14ac:dyDescent="0.2">
      <c r="D35" s="139">
        <f>D34/$L$34*100</f>
        <v>35.962901367580102</v>
      </c>
      <c r="E35" s="139">
        <f t="shared" ref="E35:F35" si="8">E34/$L$34*100</f>
        <v>19.086498138631001</v>
      </c>
      <c r="F35" s="139">
        <f t="shared" si="8"/>
        <v>7.6225429685387001</v>
      </c>
      <c r="G35" s="139">
        <f>G34/$L$34*100</f>
        <v>2.9835624268104901</v>
      </c>
      <c r="H35" s="139">
        <f>H34/$L$34*100</f>
        <v>1.92054586284815</v>
      </c>
      <c r="I35" s="139">
        <f t="shared" ref="I35:K35" si="9">I34/$L$34*100</f>
        <v>5.1839015172705398</v>
      </c>
      <c r="J35" s="139">
        <f t="shared" si="9"/>
        <v>22.481825083419501</v>
      </c>
      <c r="K35" s="139">
        <f t="shared" si="9"/>
        <v>4.7582226349014896</v>
      </c>
      <c r="L35" s="1031">
        <f>SUM(D35:K35)</f>
        <v>100</v>
      </c>
      <c r="M35" s="628"/>
      <c r="N35" s="628"/>
    </row>
    <row r="36" spans="2:17" x14ac:dyDescent="0.2">
      <c r="L36" s="1031"/>
      <c r="M36" s="628"/>
      <c r="N36" s="628"/>
    </row>
    <row r="38" spans="2:17" s="972" customFormat="1" x14ac:dyDescent="0.2">
      <c r="D38" s="974">
        <f>SUM(D39:D45)</f>
        <v>708991.73</v>
      </c>
      <c r="E38" s="974"/>
      <c r="F38" s="974">
        <f t="shared" ref="F38:O38" si="10">SUM(F39:F45)</f>
        <v>861395.25</v>
      </c>
      <c r="G38" s="974">
        <f t="shared" si="10"/>
        <v>0</v>
      </c>
      <c r="H38" s="974">
        <f t="shared" si="10"/>
        <v>309225.28999999998</v>
      </c>
      <c r="I38" s="974">
        <f t="shared" si="10"/>
        <v>162575.10999999999</v>
      </c>
      <c r="J38" s="974">
        <f t="shared" si="10"/>
        <v>64998.26</v>
      </c>
      <c r="K38" s="974">
        <f t="shared" si="10"/>
        <v>26043.84</v>
      </c>
      <c r="L38" s="974">
        <f t="shared" si="10"/>
        <v>15825.07</v>
      </c>
      <c r="M38" s="974">
        <f t="shared" si="10"/>
        <v>44129.75</v>
      </c>
      <c r="N38" s="974">
        <f t="shared" si="10"/>
        <v>197603.86</v>
      </c>
      <c r="O38" s="974">
        <f t="shared" si="10"/>
        <v>40994.07</v>
      </c>
      <c r="P38" s="975">
        <f>SUM(H38:O38)</f>
        <v>861395.25</v>
      </c>
    </row>
    <row r="39" spans="2:17" s="972" customFormat="1" x14ac:dyDescent="0.2">
      <c r="C39" s="979" t="s">
        <v>489</v>
      </c>
      <c r="D39" s="976">
        <f>КЗ!D16</f>
        <v>45888.69</v>
      </c>
      <c r="E39" s="528">
        <v>1.5508</v>
      </c>
      <c r="F39" s="978">
        <f t="shared" ref="F39:F50" si="11">D39*E39</f>
        <v>71164.179999999993</v>
      </c>
      <c r="G39" s="976"/>
      <c r="H39" s="1023">
        <f>D24/$L24*$F39+0.01</f>
        <v>25156.12</v>
      </c>
      <c r="I39" s="1033">
        <f t="shared" ref="I39:O45" si="12">E24/$L24*$F39</f>
        <v>14732.76</v>
      </c>
      <c r="J39" s="1035">
        <f t="shared" si="12"/>
        <v>7058.41</v>
      </c>
      <c r="K39" s="1036">
        <f t="shared" si="12"/>
        <v>1815.6</v>
      </c>
      <c r="L39" s="1032">
        <f t="shared" si="12"/>
        <v>1911.2</v>
      </c>
      <c r="M39" s="1034">
        <f t="shared" si="12"/>
        <v>4139.6899999999996</v>
      </c>
      <c r="N39" s="1037">
        <f t="shared" si="12"/>
        <v>12557.91</v>
      </c>
      <c r="O39" s="1037">
        <f t="shared" si="12"/>
        <v>3792.49</v>
      </c>
      <c r="P39" s="973">
        <f>SUM(H39:O39)</f>
        <v>71164.179999999993</v>
      </c>
      <c r="Q39" s="1041">
        <f>SUM(P39:P45)</f>
        <v>861395.25</v>
      </c>
    </row>
    <row r="40" spans="2:17" s="972" customFormat="1" x14ac:dyDescent="0.2">
      <c r="C40" s="980" t="s">
        <v>490</v>
      </c>
      <c r="D40" s="976">
        <f>КЗ!D17</f>
        <v>91121.62</v>
      </c>
      <c r="E40" s="528">
        <v>1.0604</v>
      </c>
      <c r="F40" s="978">
        <f t="shared" si="11"/>
        <v>96625.37</v>
      </c>
      <c r="G40" s="976"/>
      <c r="H40" s="1023">
        <f>D25/$L25*$F40</f>
        <v>31712.54</v>
      </c>
      <c r="I40" s="1033">
        <f t="shared" si="12"/>
        <v>17089.8</v>
      </c>
      <c r="J40" s="1035">
        <f t="shared" si="12"/>
        <v>5077.75</v>
      </c>
      <c r="K40" s="1036">
        <f t="shared" si="12"/>
        <v>2587.25</v>
      </c>
      <c r="L40" s="1032">
        <f t="shared" si="12"/>
        <v>2977.4</v>
      </c>
      <c r="M40" s="1034">
        <f t="shared" si="12"/>
        <v>4477.6400000000003</v>
      </c>
      <c r="N40" s="1037">
        <f t="shared" si="12"/>
        <v>25118.1</v>
      </c>
      <c r="O40" s="1037">
        <f t="shared" si="12"/>
        <v>7584.89</v>
      </c>
      <c r="P40" s="973">
        <f t="shared" ref="P40:P50" si="13">SUM(H40:O40)</f>
        <v>96625.37</v>
      </c>
    </row>
    <row r="41" spans="2:17" s="972" customFormat="1" x14ac:dyDescent="0.2">
      <c r="C41" s="980" t="s">
        <v>22</v>
      </c>
      <c r="D41" s="976">
        <f>КЗ!D18</f>
        <v>114862.49</v>
      </c>
      <c r="E41" s="528">
        <v>1.0589999999999999</v>
      </c>
      <c r="F41" s="978">
        <f t="shared" si="11"/>
        <v>121639.38</v>
      </c>
      <c r="G41" s="976"/>
      <c r="H41" s="1023">
        <f>D26/$L26*$F41+0.01</f>
        <v>40074.78</v>
      </c>
      <c r="I41" s="1033">
        <f t="shared" si="12"/>
        <v>21596.18</v>
      </c>
      <c r="J41" s="1035">
        <f t="shared" si="12"/>
        <v>9031.36</v>
      </c>
      <c r="K41" s="1036">
        <f t="shared" si="12"/>
        <v>3218.39</v>
      </c>
      <c r="L41" s="1032">
        <f t="shared" si="12"/>
        <v>851.51</v>
      </c>
      <c r="M41" s="1034">
        <f t="shared" si="12"/>
        <v>5560.95</v>
      </c>
      <c r="N41" s="1037">
        <f t="shared" si="12"/>
        <v>32029.1</v>
      </c>
      <c r="O41" s="1037">
        <f t="shared" si="12"/>
        <v>9277.11</v>
      </c>
      <c r="P41" s="973">
        <f t="shared" si="13"/>
        <v>121639.38</v>
      </c>
    </row>
    <row r="42" spans="2:17" s="972" customFormat="1" x14ac:dyDescent="0.2">
      <c r="C42" s="980" t="s">
        <v>23</v>
      </c>
      <c r="D42" s="976">
        <f>КЗ!D19</f>
        <v>136295.35</v>
      </c>
      <c r="E42" s="528">
        <v>1.4551000000000001</v>
      </c>
      <c r="F42" s="978">
        <f t="shared" si="11"/>
        <v>198323.36</v>
      </c>
      <c r="G42" s="976"/>
      <c r="H42" s="1023">
        <f>D27/$L27*$F42-0.01</f>
        <v>74021.460000000006</v>
      </c>
      <c r="I42" s="1033">
        <f t="shared" si="12"/>
        <v>38707.879999999997</v>
      </c>
      <c r="J42" s="1035">
        <f t="shared" si="12"/>
        <v>19689.45</v>
      </c>
      <c r="K42" s="1036">
        <f t="shared" si="12"/>
        <v>5955.01</v>
      </c>
      <c r="L42" s="1032">
        <f t="shared" si="12"/>
        <v>6176.36</v>
      </c>
      <c r="M42" s="1034">
        <f t="shared" si="12"/>
        <v>10611.08</v>
      </c>
      <c r="N42" s="1037">
        <f t="shared" si="12"/>
        <v>35719.49</v>
      </c>
      <c r="O42" s="1037">
        <f t="shared" si="12"/>
        <v>7442.63</v>
      </c>
      <c r="P42" s="973">
        <f t="shared" si="13"/>
        <v>198323.36</v>
      </c>
    </row>
    <row r="43" spans="2:17" s="972" customFormat="1" x14ac:dyDescent="0.2">
      <c r="C43" s="1017" t="s">
        <v>24</v>
      </c>
      <c r="D43" s="976">
        <f>КЗ!D20</f>
        <v>112218.25</v>
      </c>
      <c r="E43" s="529">
        <v>1.1297999999999999</v>
      </c>
      <c r="F43" s="978">
        <f t="shared" si="11"/>
        <v>126784.18</v>
      </c>
      <c r="G43" s="976"/>
      <c r="H43" s="1023">
        <f>D28/$L28*$F43-0.01</f>
        <v>47009.01</v>
      </c>
      <c r="I43" s="1033">
        <f t="shared" si="12"/>
        <v>23218.25</v>
      </c>
      <c r="J43" s="1035">
        <f t="shared" si="12"/>
        <v>5553.95</v>
      </c>
      <c r="K43" s="1036">
        <f t="shared" si="12"/>
        <v>4364.68</v>
      </c>
      <c r="L43" s="1032">
        <f t="shared" si="12"/>
        <v>688.06</v>
      </c>
      <c r="M43" s="1034">
        <f t="shared" si="12"/>
        <v>6442.37</v>
      </c>
      <c r="N43" s="1037">
        <f t="shared" si="12"/>
        <v>34241.75</v>
      </c>
      <c r="O43" s="1037">
        <f t="shared" si="12"/>
        <v>5266.11</v>
      </c>
      <c r="P43" s="973">
        <f t="shared" si="13"/>
        <v>126784.18</v>
      </c>
    </row>
    <row r="44" spans="2:17" s="972" customFormat="1" x14ac:dyDescent="0.2">
      <c r="C44" s="1018" t="s">
        <v>25</v>
      </c>
      <c r="D44" s="976">
        <f>КЗ!D21</f>
        <v>114498.95</v>
      </c>
      <c r="E44" s="528">
        <v>1.1061000000000001</v>
      </c>
      <c r="F44" s="978">
        <f t="shared" si="11"/>
        <v>126647.29</v>
      </c>
      <c r="G44" s="976"/>
      <c r="H44" s="1023">
        <f>D29/$L29*$F44-0.02</f>
        <v>43778.92</v>
      </c>
      <c r="I44" s="1033">
        <f t="shared" si="12"/>
        <v>22813.41</v>
      </c>
      <c r="J44" s="1035">
        <f t="shared" si="12"/>
        <v>10077.040000000001</v>
      </c>
      <c r="K44" s="1036">
        <f t="shared" si="12"/>
        <v>4347.88</v>
      </c>
      <c r="L44" s="1032">
        <f t="shared" si="12"/>
        <v>605.32000000000005</v>
      </c>
      <c r="M44" s="1034">
        <f t="shared" si="12"/>
        <v>6558.66</v>
      </c>
      <c r="N44" s="1037">
        <f t="shared" si="12"/>
        <v>34001.42</v>
      </c>
      <c r="O44" s="1037">
        <f t="shared" si="12"/>
        <v>4464.6400000000003</v>
      </c>
      <c r="P44" s="973">
        <f t="shared" si="13"/>
        <v>126647.29</v>
      </c>
    </row>
    <row r="45" spans="2:17" s="972" customFormat="1" x14ac:dyDescent="0.2">
      <c r="C45" s="1018" t="s">
        <v>26</v>
      </c>
      <c r="D45" s="976">
        <f>КЗ!D22</f>
        <v>94106.38</v>
      </c>
      <c r="E45" s="529">
        <v>1.2774000000000001</v>
      </c>
      <c r="F45" s="978">
        <f t="shared" si="11"/>
        <v>120211.49</v>
      </c>
      <c r="G45" s="976"/>
      <c r="H45" s="1023">
        <f>D30/$L30*$F45</f>
        <v>47472.46</v>
      </c>
      <c r="I45" s="1033">
        <f t="shared" si="12"/>
        <v>24416.83</v>
      </c>
      <c r="J45" s="1035">
        <f t="shared" si="12"/>
        <v>8510.2999999999993</v>
      </c>
      <c r="K45" s="1036">
        <f t="shared" si="12"/>
        <v>3755.03</v>
      </c>
      <c r="L45" s="1032">
        <f t="shared" si="12"/>
        <v>2615.2199999999998</v>
      </c>
      <c r="M45" s="1034">
        <f t="shared" si="12"/>
        <v>6339.36</v>
      </c>
      <c r="N45" s="1037">
        <f t="shared" si="12"/>
        <v>23936.09</v>
      </c>
      <c r="O45" s="1037">
        <f t="shared" si="12"/>
        <v>3166.2</v>
      </c>
      <c r="P45" s="973">
        <f t="shared" si="13"/>
        <v>120211.49</v>
      </c>
    </row>
    <row r="46" spans="2:17" s="1029" customFormat="1" x14ac:dyDescent="0.2">
      <c r="C46" s="1018"/>
      <c r="D46" s="1024"/>
      <c r="E46" s="1025"/>
      <c r="F46" s="1026"/>
      <c r="G46" s="1027"/>
      <c r="H46" s="1028"/>
      <c r="I46" s="1028"/>
      <c r="J46" s="1027"/>
      <c r="K46" s="1027"/>
      <c r="L46" s="1027"/>
      <c r="M46" s="1027"/>
      <c r="N46" s="1024"/>
      <c r="O46" s="1024"/>
      <c r="P46" s="973">
        <f t="shared" si="13"/>
        <v>0</v>
      </c>
    </row>
    <row r="47" spans="2:17" s="972" customFormat="1" x14ac:dyDescent="0.2">
      <c r="C47" s="1019" t="s">
        <v>300</v>
      </c>
      <c r="D47" s="976">
        <f>КЗ!D23</f>
        <v>103500</v>
      </c>
      <c r="E47" s="977">
        <v>0.83</v>
      </c>
      <c r="F47" s="978">
        <f t="shared" si="11"/>
        <v>85905</v>
      </c>
      <c r="G47" s="981"/>
      <c r="H47" s="1023">
        <f>D$35*F47/100</f>
        <v>30893.93</v>
      </c>
      <c r="I47" s="1033">
        <f>E$35*$F47/100</f>
        <v>16396.259999999998</v>
      </c>
      <c r="J47" s="1035">
        <f>F$35*$F47/100</f>
        <v>6548.15</v>
      </c>
      <c r="K47" s="1036">
        <f>G$35*$F47/100</f>
        <v>2563.0300000000002</v>
      </c>
      <c r="L47" s="1032">
        <f t="shared" ref="L47:O50" si="14">H$35*$F47/100</f>
        <v>1649.84</v>
      </c>
      <c r="M47" s="1034">
        <f t="shared" si="14"/>
        <v>4453.2299999999996</v>
      </c>
      <c r="N47" s="1037">
        <f t="shared" si="14"/>
        <v>19313.009999999998</v>
      </c>
      <c r="O47" s="1037">
        <f t="shared" si="14"/>
        <v>4087.55</v>
      </c>
      <c r="P47" s="973">
        <f t="shared" si="13"/>
        <v>85905</v>
      </c>
    </row>
    <row r="48" spans="2:17" s="972" customFormat="1" x14ac:dyDescent="0.2">
      <c r="C48" s="1019" t="s">
        <v>47</v>
      </c>
      <c r="D48" s="976">
        <f>КЗ!D24</f>
        <v>102692.4</v>
      </c>
      <c r="E48" s="977">
        <v>0.83</v>
      </c>
      <c r="F48" s="978">
        <f t="shared" si="11"/>
        <v>85234.69</v>
      </c>
      <c r="G48" s="981"/>
      <c r="H48" s="1023">
        <f t="shared" ref="H48" si="15">D$35*F48/100</f>
        <v>30652.87</v>
      </c>
      <c r="I48" s="1033">
        <f t="shared" ref="I48:I50" si="16">E$35*$F48/100</f>
        <v>16268.32</v>
      </c>
      <c r="J48" s="1035">
        <f t="shared" ref="J48:J50" si="17">F$35*$F48/100</f>
        <v>6497.05</v>
      </c>
      <c r="K48" s="1036">
        <f t="shared" ref="K48:K50" si="18">G$35*$F48/100</f>
        <v>2543.0300000000002</v>
      </c>
      <c r="L48" s="1032">
        <f t="shared" si="14"/>
        <v>1636.97</v>
      </c>
      <c r="M48" s="1034">
        <f t="shared" si="14"/>
        <v>4418.4799999999996</v>
      </c>
      <c r="N48" s="1037">
        <f t="shared" si="14"/>
        <v>19162.310000000001</v>
      </c>
      <c r="O48" s="1037">
        <f t="shared" si="14"/>
        <v>4055.66</v>
      </c>
      <c r="P48" s="973">
        <f t="shared" si="13"/>
        <v>85234.69</v>
      </c>
    </row>
    <row r="49" spans="3:17" s="972" customFormat="1" x14ac:dyDescent="0.2">
      <c r="C49" s="1019" t="s">
        <v>48</v>
      </c>
      <c r="D49" s="976">
        <f>КЗ!D25</f>
        <v>99565.87</v>
      </c>
      <c r="E49" s="977">
        <v>0.94</v>
      </c>
      <c r="F49" s="978">
        <f>D49*E49-1.86</f>
        <v>93590.06</v>
      </c>
      <c r="G49" s="981"/>
      <c r="H49" s="1023">
        <f>D$35*F49/100</f>
        <v>33657.699999999997</v>
      </c>
      <c r="I49" s="1033">
        <f t="shared" si="16"/>
        <v>17863.07</v>
      </c>
      <c r="J49" s="1035">
        <f t="shared" si="17"/>
        <v>7133.94</v>
      </c>
      <c r="K49" s="1036">
        <f t="shared" si="18"/>
        <v>2792.32</v>
      </c>
      <c r="L49" s="1032">
        <f t="shared" si="14"/>
        <v>1797.44</v>
      </c>
      <c r="M49" s="1034">
        <f t="shared" si="14"/>
        <v>4851.62</v>
      </c>
      <c r="N49" s="1037">
        <f t="shared" si="14"/>
        <v>21040.75</v>
      </c>
      <c r="O49" s="1037">
        <f t="shared" si="14"/>
        <v>4453.22</v>
      </c>
      <c r="P49" s="973">
        <f t="shared" si="13"/>
        <v>93590.06</v>
      </c>
    </row>
    <row r="50" spans="3:17" s="972" customFormat="1" x14ac:dyDescent="0.2">
      <c r="C50" s="1019" t="s">
        <v>1</v>
      </c>
      <c r="D50" s="976">
        <f>КЗ!D28</f>
        <v>49500</v>
      </c>
      <c r="E50" s="977">
        <v>0.9</v>
      </c>
      <c r="F50" s="978">
        <f t="shared" si="11"/>
        <v>44550</v>
      </c>
      <c r="G50" s="981"/>
      <c r="H50" s="1023">
        <f>D$35*F50/100+0.01</f>
        <v>16021.48</v>
      </c>
      <c r="I50" s="1033">
        <f t="shared" si="16"/>
        <v>8503.0300000000007</v>
      </c>
      <c r="J50" s="1035">
        <f t="shared" si="17"/>
        <v>3395.84</v>
      </c>
      <c r="K50" s="1036">
        <f t="shared" si="18"/>
        <v>1329.18</v>
      </c>
      <c r="L50" s="1032">
        <f t="shared" si="14"/>
        <v>855.6</v>
      </c>
      <c r="M50" s="1034">
        <f t="shared" si="14"/>
        <v>2309.4299999999998</v>
      </c>
      <c r="N50" s="1037">
        <f t="shared" si="14"/>
        <v>10015.65</v>
      </c>
      <c r="O50" s="1037">
        <f t="shared" si="14"/>
        <v>2119.79</v>
      </c>
      <c r="P50" s="973">
        <f t="shared" si="13"/>
        <v>44550</v>
      </c>
    </row>
    <row r="51" spans="3:17" s="972" customFormat="1" x14ac:dyDescent="0.2">
      <c r="C51" s="1020" t="s">
        <v>455</v>
      </c>
      <c r="D51" s="978">
        <f>SUM(D39:D50)</f>
        <v>1064250</v>
      </c>
      <c r="E51" s="978"/>
      <c r="F51" s="978">
        <f t="shared" ref="F51:O51" si="19">SUM(F39:F50)</f>
        <v>1170675</v>
      </c>
      <c r="G51" s="978">
        <f t="shared" si="19"/>
        <v>0</v>
      </c>
      <c r="H51" s="978">
        <f>SUM(H39:H50)</f>
        <v>420451.27</v>
      </c>
      <c r="I51" s="978">
        <f t="shared" si="19"/>
        <v>221605.79</v>
      </c>
      <c r="J51" s="978">
        <f t="shared" si="19"/>
        <v>88573.24</v>
      </c>
      <c r="K51" s="978">
        <f t="shared" si="19"/>
        <v>35271.4</v>
      </c>
      <c r="L51" s="978">
        <f t="shared" si="19"/>
        <v>21764.92</v>
      </c>
      <c r="M51" s="978">
        <f t="shared" si="19"/>
        <v>60162.51</v>
      </c>
      <c r="N51" s="978">
        <f t="shared" si="19"/>
        <v>267135.58</v>
      </c>
      <c r="O51" s="978">
        <f t="shared" si="19"/>
        <v>55710.29</v>
      </c>
      <c r="P51" s="982">
        <f>SUM(H51:O51)</f>
        <v>1170675</v>
      </c>
      <c r="Q51" s="983"/>
    </row>
    <row r="52" spans="3:17" s="972" customFormat="1" x14ac:dyDescent="0.2">
      <c r="C52" s="1021"/>
      <c r="D52" s="984">
        <f>SUM(D47:D50)</f>
        <v>355258.27</v>
      </c>
      <c r="E52" s="984"/>
      <c r="F52" s="984">
        <f t="shared" ref="F52:O52" si="20">SUM(F47:F50)</f>
        <v>309279.75</v>
      </c>
      <c r="G52" s="984">
        <f t="shared" si="20"/>
        <v>0</v>
      </c>
      <c r="H52" s="984">
        <f t="shared" si="20"/>
        <v>111225.98</v>
      </c>
      <c r="I52" s="984">
        <f t="shared" si="20"/>
        <v>59030.68</v>
      </c>
      <c r="J52" s="984">
        <f t="shared" si="20"/>
        <v>23574.98</v>
      </c>
      <c r="K52" s="984">
        <f t="shared" si="20"/>
        <v>9227.56</v>
      </c>
      <c r="L52" s="984">
        <f t="shared" si="20"/>
        <v>5939.85</v>
      </c>
      <c r="M52" s="984">
        <f t="shared" si="20"/>
        <v>16032.76</v>
      </c>
      <c r="N52" s="984">
        <f t="shared" si="20"/>
        <v>69531.72</v>
      </c>
      <c r="O52" s="984">
        <f t="shared" si="20"/>
        <v>14716.22</v>
      </c>
      <c r="P52" s="984">
        <f>SUM(H52:O52)</f>
        <v>309279.75</v>
      </c>
    </row>
    <row r="53" spans="3:17" x14ac:dyDescent="0.2">
      <c r="C53" s="1021"/>
      <c r="D53" s="487"/>
    </row>
    <row r="54" spans="3:17" x14ac:dyDescent="0.2">
      <c r="D54" s="1022"/>
      <c r="F54" s="487"/>
    </row>
  </sheetData>
  <mergeCells count="4">
    <mergeCell ref="A4:B4"/>
    <mergeCell ref="A5:B5"/>
    <mergeCell ref="A6:B6"/>
    <mergeCell ref="A7:B7"/>
  </mergeCells>
  <pageMargins left="0.25" right="0.17" top="0.74803149606299213" bottom="0.74803149606299213" header="0.31496062992125984" footer="0.31496062992125984"/>
  <pageSetup paperSize="9" scale="74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BU91"/>
  <sheetViews>
    <sheetView zoomScale="80" zoomScaleNormal="80" workbookViewId="0">
      <pane xSplit="3" ySplit="1" topLeftCell="V50" activePane="bottomRight" state="frozen"/>
      <selection pane="topRight" activeCell="D1" sqref="D1"/>
      <selection pane="bottomLeft" activeCell="A5" sqref="A5"/>
      <selection pane="bottomRight" activeCell="AM87" sqref="AM87"/>
    </sheetView>
  </sheetViews>
  <sheetFormatPr defaultColWidth="8.85546875" defaultRowHeight="12.75" x14ac:dyDescent="0.2"/>
  <cols>
    <col min="1" max="1" width="6.140625" style="139" customWidth="1"/>
    <col min="2" max="2" width="6.5703125" style="139" customWidth="1"/>
    <col min="3" max="3" width="16.140625" style="139" customWidth="1"/>
    <col min="4" max="4" width="11.85546875" style="139" customWidth="1"/>
    <col min="5" max="5" width="9.140625" style="139" customWidth="1"/>
    <col min="6" max="6" width="7.28515625" style="139" customWidth="1"/>
    <col min="7" max="7" width="9.7109375" style="139" customWidth="1"/>
    <col min="8" max="8" width="10.140625" style="139" bestFit="1" customWidth="1"/>
    <col min="9" max="10" width="8.85546875" style="139" customWidth="1"/>
    <col min="11" max="11" width="11.7109375" style="139" bestFit="1" customWidth="1"/>
    <col min="12" max="12" width="10.140625" style="139" bestFit="1" customWidth="1"/>
    <col min="13" max="13" width="9.140625" style="139" customWidth="1"/>
    <col min="14" max="14" width="8.85546875" style="139" customWidth="1"/>
    <col min="15" max="15" width="11.7109375" style="139" bestFit="1" customWidth="1"/>
    <col min="16" max="16" width="10.140625" style="139" bestFit="1" customWidth="1"/>
    <col min="17" max="18" width="8.85546875" style="139" customWidth="1"/>
    <col min="19" max="19" width="11.7109375" style="139" bestFit="1" customWidth="1"/>
    <col min="20" max="20" width="10.140625" style="139" bestFit="1" customWidth="1"/>
    <col min="21" max="21" width="8.85546875" style="150" customWidth="1"/>
    <col min="22" max="22" width="8.85546875" style="139" customWidth="1"/>
    <col min="23" max="24" width="11.7109375" style="139" bestFit="1" customWidth="1"/>
    <col min="25" max="25" width="8.85546875" style="150" customWidth="1"/>
    <col min="26" max="26" width="8.85546875" style="139" customWidth="1"/>
    <col min="27" max="27" width="11.7109375" style="139" bestFit="1" customWidth="1"/>
    <col min="28" max="28" width="12.42578125" style="139" bestFit="1" customWidth="1"/>
    <col min="29" max="29" width="8.85546875" style="150" customWidth="1"/>
    <col min="30" max="30" width="8.85546875" style="139" customWidth="1"/>
    <col min="31" max="32" width="11.7109375" style="139" bestFit="1" customWidth="1"/>
    <col min="33" max="33" width="8.85546875" style="150" customWidth="1"/>
    <col min="34" max="34" width="8.85546875" style="139" customWidth="1"/>
    <col min="35" max="35" width="11.7109375" style="139" bestFit="1" customWidth="1"/>
    <col min="36" max="36" width="12.42578125" style="139" bestFit="1" customWidth="1"/>
    <col min="37" max="37" width="8.85546875" style="150" customWidth="1"/>
    <col min="38" max="38" width="8.85546875" style="139" customWidth="1"/>
    <col min="39" max="39" width="13.5703125" style="139" bestFit="1" customWidth="1"/>
    <col min="40" max="40" width="12.42578125" style="139" bestFit="1" customWidth="1"/>
    <col min="41" max="41" width="8.85546875" style="150" customWidth="1"/>
    <col min="42" max="42" width="8.85546875" style="139" customWidth="1"/>
    <col min="43" max="43" width="11.7109375" style="139" bestFit="1" customWidth="1"/>
    <col min="44" max="44" width="12.42578125" style="139" bestFit="1" customWidth="1"/>
    <col min="45" max="45" width="8.85546875" style="150" customWidth="1"/>
    <col min="46" max="46" width="8.85546875" style="139" customWidth="1"/>
    <col min="47" max="47" width="11.7109375" style="139" bestFit="1" customWidth="1"/>
    <col min="48" max="48" width="12.5703125" style="139" bestFit="1" customWidth="1"/>
    <col min="49" max="49" width="8.85546875" style="150" customWidth="1"/>
    <col min="50" max="50" width="8.85546875" style="139" customWidth="1"/>
    <col min="51" max="51" width="11.7109375" style="139" bestFit="1" customWidth="1"/>
    <col min="52" max="52" width="11.7109375" style="139" customWidth="1"/>
    <col min="53" max="53" width="11.7109375" style="683" customWidth="1"/>
    <col min="54" max="54" width="13.5703125" style="683" bestFit="1" customWidth="1"/>
    <col min="55" max="55" width="13.5703125" style="683" customWidth="1"/>
    <col min="56" max="58" width="11.7109375" style="148" customWidth="1"/>
    <col min="59" max="59" width="13.28515625" style="139" customWidth="1"/>
    <col min="60" max="65" width="14.140625" style="139" customWidth="1"/>
    <col min="66" max="66" width="5" style="139" customWidth="1"/>
    <col min="67" max="67" width="12.7109375" style="139" customWidth="1"/>
    <col min="68" max="68" width="13.85546875" style="139" customWidth="1"/>
    <col min="69" max="69" width="12.7109375" style="139" customWidth="1"/>
    <col min="70" max="70" width="13.28515625" customWidth="1"/>
    <col min="71" max="71" width="13.140625" style="139" customWidth="1"/>
    <col min="72" max="72" width="12.5703125" style="139" customWidth="1"/>
    <col min="73" max="73" width="13.140625" style="139" customWidth="1"/>
    <col min="74" max="294" width="8.85546875" style="139"/>
    <col min="295" max="295" width="6.140625" style="139" customWidth="1"/>
    <col min="296" max="296" width="6.5703125" style="139" customWidth="1"/>
    <col min="297" max="297" width="16.140625" style="139" customWidth="1"/>
    <col min="298" max="298" width="11.85546875" style="139" customWidth="1"/>
    <col min="299" max="299" width="9.140625" style="139" customWidth="1"/>
    <col min="300" max="300" width="7.28515625" style="139" customWidth="1"/>
    <col min="301" max="301" width="9.7109375" style="139" customWidth="1"/>
    <col min="302" max="302" width="10.140625" style="139" bestFit="1" customWidth="1"/>
    <col min="303" max="304" width="8.85546875" style="139" customWidth="1"/>
    <col min="305" max="305" width="11.7109375" style="139" bestFit="1" customWidth="1"/>
    <col min="306" max="306" width="10.140625" style="139" bestFit="1" customWidth="1"/>
    <col min="307" max="307" width="9.140625" style="139" customWidth="1"/>
    <col min="308" max="308" width="8.85546875" style="139" customWidth="1"/>
    <col min="309" max="309" width="11.7109375" style="139" bestFit="1" customWidth="1"/>
    <col min="310" max="310" width="10.140625" style="139" bestFit="1" customWidth="1"/>
    <col min="311" max="312" width="8.85546875" style="139" customWidth="1"/>
    <col min="313" max="313" width="11.7109375" style="139" bestFit="1" customWidth="1"/>
    <col min="314" max="314" width="10.140625" style="139" bestFit="1" customWidth="1"/>
    <col min="315" max="316" width="8.85546875" style="139" customWidth="1"/>
    <col min="317" max="318" width="11.7109375" style="139" bestFit="1" customWidth="1"/>
    <col min="319" max="320" width="8.85546875" style="139" customWidth="1"/>
    <col min="321" max="321" width="11.7109375" style="139" bestFit="1" customWidth="1"/>
    <col min="322" max="322" width="11.7109375" style="139" customWidth="1"/>
    <col min="323" max="323" width="12" style="139" customWidth="1"/>
    <col min="324" max="324" width="12.7109375" style="139" customWidth="1"/>
    <col min="325" max="325" width="10.140625" style="139" bestFit="1" customWidth="1"/>
    <col min="326" max="550" width="8.85546875" style="139"/>
    <col min="551" max="551" width="6.140625" style="139" customWidth="1"/>
    <col min="552" max="552" width="6.5703125" style="139" customWidth="1"/>
    <col min="553" max="553" width="16.140625" style="139" customWidth="1"/>
    <col min="554" max="554" width="11.85546875" style="139" customWidth="1"/>
    <col min="555" max="555" width="9.140625" style="139" customWidth="1"/>
    <col min="556" max="556" width="7.28515625" style="139" customWidth="1"/>
    <col min="557" max="557" width="9.7109375" style="139" customWidth="1"/>
    <col min="558" max="558" width="10.140625" style="139" bestFit="1" customWidth="1"/>
    <col min="559" max="560" width="8.85546875" style="139" customWidth="1"/>
    <col min="561" max="561" width="11.7109375" style="139" bestFit="1" customWidth="1"/>
    <col min="562" max="562" width="10.140625" style="139" bestFit="1" customWidth="1"/>
    <col min="563" max="563" width="9.140625" style="139" customWidth="1"/>
    <col min="564" max="564" width="8.85546875" style="139" customWidth="1"/>
    <col min="565" max="565" width="11.7109375" style="139" bestFit="1" customWidth="1"/>
    <col min="566" max="566" width="10.140625" style="139" bestFit="1" customWidth="1"/>
    <col min="567" max="568" width="8.85546875" style="139" customWidth="1"/>
    <col min="569" max="569" width="11.7109375" style="139" bestFit="1" customWidth="1"/>
    <col min="570" max="570" width="10.140625" style="139" bestFit="1" customWidth="1"/>
    <col min="571" max="572" width="8.85546875" style="139" customWidth="1"/>
    <col min="573" max="574" width="11.7109375" style="139" bestFit="1" customWidth="1"/>
    <col min="575" max="576" width="8.85546875" style="139" customWidth="1"/>
    <col min="577" max="577" width="11.7109375" style="139" bestFit="1" customWidth="1"/>
    <col min="578" max="578" width="11.7109375" style="139" customWidth="1"/>
    <col min="579" max="579" width="12" style="139" customWidth="1"/>
    <col min="580" max="580" width="12.7109375" style="139" customWidth="1"/>
    <col min="581" max="581" width="10.140625" style="139" bestFit="1" customWidth="1"/>
    <col min="582" max="806" width="8.85546875" style="139"/>
    <col min="807" max="807" width="6.140625" style="139" customWidth="1"/>
    <col min="808" max="808" width="6.5703125" style="139" customWidth="1"/>
    <col min="809" max="809" width="16.140625" style="139" customWidth="1"/>
    <col min="810" max="810" width="11.85546875" style="139" customWidth="1"/>
    <col min="811" max="811" width="9.140625" style="139" customWidth="1"/>
    <col min="812" max="812" width="7.28515625" style="139" customWidth="1"/>
    <col min="813" max="813" width="9.7109375" style="139" customWidth="1"/>
    <col min="814" max="814" width="10.140625" style="139" bestFit="1" customWidth="1"/>
    <col min="815" max="816" width="8.85546875" style="139" customWidth="1"/>
    <col min="817" max="817" width="11.7109375" style="139" bestFit="1" customWidth="1"/>
    <col min="818" max="818" width="10.140625" style="139" bestFit="1" customWidth="1"/>
    <col min="819" max="819" width="9.140625" style="139" customWidth="1"/>
    <col min="820" max="820" width="8.85546875" style="139" customWidth="1"/>
    <col min="821" max="821" width="11.7109375" style="139" bestFit="1" customWidth="1"/>
    <col min="822" max="822" width="10.140625" style="139" bestFit="1" customWidth="1"/>
    <col min="823" max="824" width="8.85546875" style="139" customWidth="1"/>
    <col min="825" max="825" width="11.7109375" style="139" bestFit="1" customWidth="1"/>
    <col min="826" max="826" width="10.140625" style="139" bestFit="1" customWidth="1"/>
    <col min="827" max="828" width="8.85546875" style="139" customWidth="1"/>
    <col min="829" max="830" width="11.7109375" style="139" bestFit="1" customWidth="1"/>
    <col min="831" max="832" width="8.85546875" style="139" customWidth="1"/>
    <col min="833" max="833" width="11.7109375" style="139" bestFit="1" customWidth="1"/>
    <col min="834" max="834" width="11.7109375" style="139" customWidth="1"/>
    <col min="835" max="835" width="12" style="139" customWidth="1"/>
    <col min="836" max="836" width="12.7109375" style="139" customWidth="1"/>
    <col min="837" max="837" width="10.140625" style="139" bestFit="1" customWidth="1"/>
    <col min="838" max="1062" width="8.85546875" style="139"/>
    <col min="1063" max="1063" width="6.140625" style="139" customWidth="1"/>
    <col min="1064" max="1064" width="6.5703125" style="139" customWidth="1"/>
    <col min="1065" max="1065" width="16.140625" style="139" customWidth="1"/>
    <col min="1066" max="1066" width="11.85546875" style="139" customWidth="1"/>
    <col min="1067" max="1067" width="9.140625" style="139" customWidth="1"/>
    <col min="1068" max="1068" width="7.28515625" style="139" customWidth="1"/>
    <col min="1069" max="1069" width="9.7109375" style="139" customWidth="1"/>
    <col min="1070" max="1070" width="10.140625" style="139" bestFit="1" customWidth="1"/>
    <col min="1071" max="1072" width="8.85546875" style="139" customWidth="1"/>
    <col min="1073" max="1073" width="11.7109375" style="139" bestFit="1" customWidth="1"/>
    <col min="1074" max="1074" width="10.140625" style="139" bestFit="1" customWidth="1"/>
    <col min="1075" max="1075" width="9.140625" style="139" customWidth="1"/>
    <col min="1076" max="1076" width="8.85546875" style="139" customWidth="1"/>
    <col min="1077" max="1077" width="11.7109375" style="139" bestFit="1" customWidth="1"/>
    <col min="1078" max="1078" width="10.140625" style="139" bestFit="1" customWidth="1"/>
    <col min="1079" max="1080" width="8.85546875" style="139" customWidth="1"/>
    <col min="1081" max="1081" width="11.7109375" style="139" bestFit="1" customWidth="1"/>
    <col min="1082" max="1082" width="10.140625" style="139" bestFit="1" customWidth="1"/>
    <col min="1083" max="1084" width="8.85546875" style="139" customWidth="1"/>
    <col min="1085" max="1086" width="11.7109375" style="139" bestFit="1" customWidth="1"/>
    <col min="1087" max="1088" width="8.85546875" style="139" customWidth="1"/>
    <col min="1089" max="1089" width="11.7109375" style="139" bestFit="1" customWidth="1"/>
    <col min="1090" max="1090" width="11.7109375" style="139" customWidth="1"/>
    <col min="1091" max="1091" width="12" style="139" customWidth="1"/>
    <col min="1092" max="1092" width="12.7109375" style="139" customWidth="1"/>
    <col min="1093" max="1093" width="10.140625" style="139" bestFit="1" customWidth="1"/>
    <col min="1094" max="1318" width="8.85546875" style="139"/>
    <col min="1319" max="1319" width="6.140625" style="139" customWidth="1"/>
    <col min="1320" max="1320" width="6.5703125" style="139" customWidth="1"/>
    <col min="1321" max="1321" width="16.140625" style="139" customWidth="1"/>
    <col min="1322" max="1322" width="11.85546875" style="139" customWidth="1"/>
    <col min="1323" max="1323" width="9.140625" style="139" customWidth="1"/>
    <col min="1324" max="1324" width="7.28515625" style="139" customWidth="1"/>
    <col min="1325" max="1325" width="9.7109375" style="139" customWidth="1"/>
    <col min="1326" max="1326" width="10.140625" style="139" bestFit="1" customWidth="1"/>
    <col min="1327" max="1328" width="8.85546875" style="139" customWidth="1"/>
    <col min="1329" max="1329" width="11.7109375" style="139" bestFit="1" customWidth="1"/>
    <col min="1330" max="1330" width="10.140625" style="139" bestFit="1" customWidth="1"/>
    <col min="1331" max="1331" width="9.140625" style="139" customWidth="1"/>
    <col min="1332" max="1332" width="8.85546875" style="139" customWidth="1"/>
    <col min="1333" max="1333" width="11.7109375" style="139" bestFit="1" customWidth="1"/>
    <col min="1334" max="1334" width="10.140625" style="139" bestFit="1" customWidth="1"/>
    <col min="1335" max="1336" width="8.85546875" style="139" customWidth="1"/>
    <col min="1337" max="1337" width="11.7109375" style="139" bestFit="1" customWidth="1"/>
    <col min="1338" max="1338" width="10.140625" style="139" bestFit="1" customWidth="1"/>
    <col min="1339" max="1340" width="8.85546875" style="139" customWidth="1"/>
    <col min="1341" max="1342" width="11.7109375" style="139" bestFit="1" customWidth="1"/>
    <col min="1343" max="1344" width="8.85546875" style="139" customWidth="1"/>
    <col min="1345" max="1345" width="11.7109375" style="139" bestFit="1" customWidth="1"/>
    <col min="1346" max="1346" width="11.7109375" style="139" customWidth="1"/>
    <col min="1347" max="1347" width="12" style="139" customWidth="1"/>
    <col min="1348" max="1348" width="12.7109375" style="139" customWidth="1"/>
    <col min="1349" max="1349" width="10.140625" style="139" bestFit="1" customWidth="1"/>
    <col min="1350" max="1574" width="8.85546875" style="139"/>
    <col min="1575" max="1575" width="6.140625" style="139" customWidth="1"/>
    <col min="1576" max="1576" width="6.5703125" style="139" customWidth="1"/>
    <col min="1577" max="1577" width="16.140625" style="139" customWidth="1"/>
    <col min="1578" max="1578" width="11.85546875" style="139" customWidth="1"/>
    <col min="1579" max="1579" width="9.140625" style="139" customWidth="1"/>
    <col min="1580" max="1580" width="7.28515625" style="139" customWidth="1"/>
    <col min="1581" max="1581" width="9.7109375" style="139" customWidth="1"/>
    <col min="1582" max="1582" width="10.140625" style="139" bestFit="1" customWidth="1"/>
    <col min="1583" max="1584" width="8.85546875" style="139" customWidth="1"/>
    <col min="1585" max="1585" width="11.7109375" style="139" bestFit="1" customWidth="1"/>
    <col min="1586" max="1586" width="10.140625" style="139" bestFit="1" customWidth="1"/>
    <col min="1587" max="1587" width="9.140625" style="139" customWidth="1"/>
    <col min="1588" max="1588" width="8.85546875" style="139" customWidth="1"/>
    <col min="1589" max="1589" width="11.7109375" style="139" bestFit="1" customWidth="1"/>
    <col min="1590" max="1590" width="10.140625" style="139" bestFit="1" customWidth="1"/>
    <col min="1591" max="1592" width="8.85546875" style="139" customWidth="1"/>
    <col min="1593" max="1593" width="11.7109375" style="139" bestFit="1" customWidth="1"/>
    <col min="1594" max="1594" width="10.140625" style="139" bestFit="1" customWidth="1"/>
    <col min="1595" max="1596" width="8.85546875" style="139" customWidth="1"/>
    <col min="1597" max="1598" width="11.7109375" style="139" bestFit="1" customWidth="1"/>
    <col min="1599" max="1600" width="8.85546875" style="139" customWidth="1"/>
    <col min="1601" max="1601" width="11.7109375" style="139" bestFit="1" customWidth="1"/>
    <col min="1602" max="1602" width="11.7109375" style="139" customWidth="1"/>
    <col min="1603" max="1603" width="12" style="139" customWidth="1"/>
    <col min="1604" max="1604" width="12.7109375" style="139" customWidth="1"/>
    <col min="1605" max="1605" width="10.140625" style="139" bestFit="1" customWidth="1"/>
    <col min="1606" max="1830" width="8.85546875" style="139"/>
    <col min="1831" max="1831" width="6.140625" style="139" customWidth="1"/>
    <col min="1832" max="1832" width="6.5703125" style="139" customWidth="1"/>
    <col min="1833" max="1833" width="16.140625" style="139" customWidth="1"/>
    <col min="1834" max="1834" width="11.85546875" style="139" customWidth="1"/>
    <col min="1835" max="1835" width="9.140625" style="139" customWidth="1"/>
    <col min="1836" max="1836" width="7.28515625" style="139" customWidth="1"/>
    <col min="1837" max="1837" width="9.7109375" style="139" customWidth="1"/>
    <col min="1838" max="1838" width="10.140625" style="139" bestFit="1" customWidth="1"/>
    <col min="1839" max="1840" width="8.85546875" style="139" customWidth="1"/>
    <col min="1841" max="1841" width="11.7109375" style="139" bestFit="1" customWidth="1"/>
    <col min="1842" max="1842" width="10.140625" style="139" bestFit="1" customWidth="1"/>
    <col min="1843" max="1843" width="9.140625" style="139" customWidth="1"/>
    <col min="1844" max="1844" width="8.85546875" style="139" customWidth="1"/>
    <col min="1845" max="1845" width="11.7109375" style="139" bestFit="1" customWidth="1"/>
    <col min="1846" max="1846" width="10.140625" style="139" bestFit="1" customWidth="1"/>
    <col min="1847" max="1848" width="8.85546875" style="139" customWidth="1"/>
    <col min="1849" max="1849" width="11.7109375" style="139" bestFit="1" customWidth="1"/>
    <col min="1850" max="1850" width="10.140625" style="139" bestFit="1" customWidth="1"/>
    <col min="1851" max="1852" width="8.85546875" style="139" customWidth="1"/>
    <col min="1853" max="1854" width="11.7109375" style="139" bestFit="1" customWidth="1"/>
    <col min="1855" max="1856" width="8.85546875" style="139" customWidth="1"/>
    <col min="1857" max="1857" width="11.7109375" style="139" bestFit="1" customWidth="1"/>
    <col min="1858" max="1858" width="11.7109375" style="139" customWidth="1"/>
    <col min="1859" max="1859" width="12" style="139" customWidth="1"/>
    <col min="1860" max="1860" width="12.7109375" style="139" customWidth="1"/>
    <col min="1861" max="1861" width="10.140625" style="139" bestFit="1" customWidth="1"/>
    <col min="1862" max="2086" width="8.85546875" style="139"/>
    <col min="2087" max="2087" width="6.140625" style="139" customWidth="1"/>
    <col min="2088" max="2088" width="6.5703125" style="139" customWidth="1"/>
    <col min="2089" max="2089" width="16.140625" style="139" customWidth="1"/>
    <col min="2090" max="2090" width="11.85546875" style="139" customWidth="1"/>
    <col min="2091" max="2091" width="9.140625" style="139" customWidth="1"/>
    <col min="2092" max="2092" width="7.28515625" style="139" customWidth="1"/>
    <col min="2093" max="2093" width="9.7109375" style="139" customWidth="1"/>
    <col min="2094" max="2094" width="10.140625" style="139" bestFit="1" customWidth="1"/>
    <col min="2095" max="2096" width="8.85546875" style="139" customWidth="1"/>
    <col min="2097" max="2097" width="11.7109375" style="139" bestFit="1" customWidth="1"/>
    <col min="2098" max="2098" width="10.140625" style="139" bestFit="1" customWidth="1"/>
    <col min="2099" max="2099" width="9.140625" style="139" customWidth="1"/>
    <col min="2100" max="2100" width="8.85546875" style="139" customWidth="1"/>
    <col min="2101" max="2101" width="11.7109375" style="139" bestFit="1" customWidth="1"/>
    <col min="2102" max="2102" width="10.140625" style="139" bestFit="1" customWidth="1"/>
    <col min="2103" max="2104" width="8.85546875" style="139" customWidth="1"/>
    <col min="2105" max="2105" width="11.7109375" style="139" bestFit="1" customWidth="1"/>
    <col min="2106" max="2106" width="10.140625" style="139" bestFit="1" customWidth="1"/>
    <col min="2107" max="2108" width="8.85546875" style="139" customWidth="1"/>
    <col min="2109" max="2110" width="11.7109375" style="139" bestFit="1" customWidth="1"/>
    <col min="2111" max="2112" width="8.85546875" style="139" customWidth="1"/>
    <col min="2113" max="2113" width="11.7109375" style="139" bestFit="1" customWidth="1"/>
    <col min="2114" max="2114" width="11.7109375" style="139" customWidth="1"/>
    <col min="2115" max="2115" width="12" style="139" customWidth="1"/>
    <col min="2116" max="2116" width="12.7109375" style="139" customWidth="1"/>
    <col min="2117" max="2117" width="10.140625" style="139" bestFit="1" customWidth="1"/>
    <col min="2118" max="2342" width="8.85546875" style="139"/>
    <col min="2343" max="2343" width="6.140625" style="139" customWidth="1"/>
    <col min="2344" max="2344" width="6.5703125" style="139" customWidth="1"/>
    <col min="2345" max="2345" width="16.140625" style="139" customWidth="1"/>
    <col min="2346" max="2346" width="11.85546875" style="139" customWidth="1"/>
    <col min="2347" max="2347" width="9.140625" style="139" customWidth="1"/>
    <col min="2348" max="2348" width="7.28515625" style="139" customWidth="1"/>
    <col min="2349" max="2349" width="9.7109375" style="139" customWidth="1"/>
    <col min="2350" max="2350" width="10.140625" style="139" bestFit="1" customWidth="1"/>
    <col min="2351" max="2352" width="8.85546875" style="139" customWidth="1"/>
    <col min="2353" max="2353" width="11.7109375" style="139" bestFit="1" customWidth="1"/>
    <col min="2354" max="2354" width="10.140625" style="139" bestFit="1" customWidth="1"/>
    <col min="2355" max="2355" width="9.140625" style="139" customWidth="1"/>
    <col min="2356" max="2356" width="8.85546875" style="139" customWidth="1"/>
    <col min="2357" max="2357" width="11.7109375" style="139" bestFit="1" customWidth="1"/>
    <col min="2358" max="2358" width="10.140625" style="139" bestFit="1" customWidth="1"/>
    <col min="2359" max="2360" width="8.85546875" style="139" customWidth="1"/>
    <col min="2361" max="2361" width="11.7109375" style="139" bestFit="1" customWidth="1"/>
    <col min="2362" max="2362" width="10.140625" style="139" bestFit="1" customWidth="1"/>
    <col min="2363" max="2364" width="8.85546875" style="139" customWidth="1"/>
    <col min="2365" max="2366" width="11.7109375" style="139" bestFit="1" customWidth="1"/>
    <col min="2367" max="2368" width="8.85546875" style="139" customWidth="1"/>
    <col min="2369" max="2369" width="11.7109375" style="139" bestFit="1" customWidth="1"/>
    <col min="2370" max="2370" width="11.7109375" style="139" customWidth="1"/>
    <col min="2371" max="2371" width="12" style="139" customWidth="1"/>
    <col min="2372" max="2372" width="12.7109375" style="139" customWidth="1"/>
    <col min="2373" max="2373" width="10.140625" style="139" bestFit="1" customWidth="1"/>
    <col min="2374" max="2598" width="8.85546875" style="139"/>
    <col min="2599" max="2599" width="6.140625" style="139" customWidth="1"/>
    <col min="2600" max="2600" width="6.5703125" style="139" customWidth="1"/>
    <col min="2601" max="2601" width="16.140625" style="139" customWidth="1"/>
    <col min="2602" max="2602" width="11.85546875" style="139" customWidth="1"/>
    <col min="2603" max="2603" width="9.140625" style="139" customWidth="1"/>
    <col min="2604" max="2604" width="7.28515625" style="139" customWidth="1"/>
    <col min="2605" max="2605" width="9.7109375" style="139" customWidth="1"/>
    <col min="2606" max="2606" width="10.140625" style="139" bestFit="1" customWidth="1"/>
    <col min="2607" max="2608" width="8.85546875" style="139" customWidth="1"/>
    <col min="2609" max="2609" width="11.7109375" style="139" bestFit="1" customWidth="1"/>
    <col min="2610" max="2610" width="10.140625" style="139" bestFit="1" customWidth="1"/>
    <col min="2611" max="2611" width="9.140625" style="139" customWidth="1"/>
    <col min="2612" max="2612" width="8.85546875" style="139" customWidth="1"/>
    <col min="2613" max="2613" width="11.7109375" style="139" bestFit="1" customWidth="1"/>
    <col min="2614" max="2614" width="10.140625" style="139" bestFit="1" customWidth="1"/>
    <col min="2615" max="2616" width="8.85546875" style="139" customWidth="1"/>
    <col min="2617" max="2617" width="11.7109375" style="139" bestFit="1" customWidth="1"/>
    <col min="2618" max="2618" width="10.140625" style="139" bestFit="1" customWidth="1"/>
    <col min="2619" max="2620" width="8.85546875" style="139" customWidth="1"/>
    <col min="2621" max="2622" width="11.7109375" style="139" bestFit="1" customWidth="1"/>
    <col min="2623" max="2624" width="8.85546875" style="139" customWidth="1"/>
    <col min="2625" max="2625" width="11.7109375" style="139" bestFit="1" customWidth="1"/>
    <col min="2626" max="2626" width="11.7109375" style="139" customWidth="1"/>
    <col min="2627" max="2627" width="12" style="139" customWidth="1"/>
    <col min="2628" max="2628" width="12.7109375" style="139" customWidth="1"/>
    <col min="2629" max="2629" width="10.140625" style="139" bestFit="1" customWidth="1"/>
    <col min="2630" max="2854" width="8.85546875" style="139"/>
    <col min="2855" max="2855" width="6.140625" style="139" customWidth="1"/>
    <col min="2856" max="2856" width="6.5703125" style="139" customWidth="1"/>
    <col min="2857" max="2857" width="16.140625" style="139" customWidth="1"/>
    <col min="2858" max="2858" width="11.85546875" style="139" customWidth="1"/>
    <col min="2859" max="2859" width="9.140625" style="139" customWidth="1"/>
    <col min="2860" max="2860" width="7.28515625" style="139" customWidth="1"/>
    <col min="2861" max="2861" width="9.7109375" style="139" customWidth="1"/>
    <col min="2862" max="2862" width="10.140625" style="139" bestFit="1" customWidth="1"/>
    <col min="2863" max="2864" width="8.85546875" style="139" customWidth="1"/>
    <col min="2865" max="2865" width="11.7109375" style="139" bestFit="1" customWidth="1"/>
    <col min="2866" max="2866" width="10.140625" style="139" bestFit="1" customWidth="1"/>
    <col min="2867" max="2867" width="9.140625" style="139" customWidth="1"/>
    <col min="2868" max="2868" width="8.85546875" style="139" customWidth="1"/>
    <col min="2869" max="2869" width="11.7109375" style="139" bestFit="1" customWidth="1"/>
    <col min="2870" max="2870" width="10.140625" style="139" bestFit="1" customWidth="1"/>
    <col min="2871" max="2872" width="8.85546875" style="139" customWidth="1"/>
    <col min="2873" max="2873" width="11.7109375" style="139" bestFit="1" customWidth="1"/>
    <col min="2874" max="2874" width="10.140625" style="139" bestFit="1" customWidth="1"/>
    <col min="2875" max="2876" width="8.85546875" style="139" customWidth="1"/>
    <col min="2877" max="2878" width="11.7109375" style="139" bestFit="1" customWidth="1"/>
    <col min="2879" max="2880" width="8.85546875" style="139" customWidth="1"/>
    <col min="2881" max="2881" width="11.7109375" style="139" bestFit="1" customWidth="1"/>
    <col min="2882" max="2882" width="11.7109375" style="139" customWidth="1"/>
    <col min="2883" max="2883" width="12" style="139" customWidth="1"/>
    <col min="2884" max="2884" width="12.7109375" style="139" customWidth="1"/>
    <col min="2885" max="2885" width="10.140625" style="139" bestFit="1" customWidth="1"/>
    <col min="2886" max="3110" width="8.85546875" style="139"/>
    <col min="3111" max="3111" width="6.140625" style="139" customWidth="1"/>
    <col min="3112" max="3112" width="6.5703125" style="139" customWidth="1"/>
    <col min="3113" max="3113" width="16.140625" style="139" customWidth="1"/>
    <col min="3114" max="3114" width="11.85546875" style="139" customWidth="1"/>
    <col min="3115" max="3115" width="9.140625" style="139" customWidth="1"/>
    <col min="3116" max="3116" width="7.28515625" style="139" customWidth="1"/>
    <col min="3117" max="3117" width="9.7109375" style="139" customWidth="1"/>
    <col min="3118" max="3118" width="10.140625" style="139" bestFit="1" customWidth="1"/>
    <col min="3119" max="3120" width="8.85546875" style="139" customWidth="1"/>
    <col min="3121" max="3121" width="11.7109375" style="139" bestFit="1" customWidth="1"/>
    <col min="3122" max="3122" width="10.140625" style="139" bestFit="1" customWidth="1"/>
    <col min="3123" max="3123" width="9.140625" style="139" customWidth="1"/>
    <col min="3124" max="3124" width="8.85546875" style="139" customWidth="1"/>
    <col min="3125" max="3125" width="11.7109375" style="139" bestFit="1" customWidth="1"/>
    <col min="3126" max="3126" width="10.140625" style="139" bestFit="1" customWidth="1"/>
    <col min="3127" max="3128" width="8.85546875" style="139" customWidth="1"/>
    <col min="3129" max="3129" width="11.7109375" style="139" bestFit="1" customWidth="1"/>
    <col min="3130" max="3130" width="10.140625" style="139" bestFit="1" customWidth="1"/>
    <col min="3131" max="3132" width="8.85546875" style="139" customWidth="1"/>
    <col min="3133" max="3134" width="11.7109375" style="139" bestFit="1" customWidth="1"/>
    <col min="3135" max="3136" width="8.85546875" style="139" customWidth="1"/>
    <col min="3137" max="3137" width="11.7109375" style="139" bestFit="1" customWidth="1"/>
    <col min="3138" max="3138" width="11.7109375" style="139" customWidth="1"/>
    <col min="3139" max="3139" width="12" style="139" customWidth="1"/>
    <col min="3140" max="3140" width="12.7109375" style="139" customWidth="1"/>
    <col min="3141" max="3141" width="10.140625" style="139" bestFit="1" customWidth="1"/>
    <col min="3142" max="3366" width="8.85546875" style="139"/>
    <col min="3367" max="3367" width="6.140625" style="139" customWidth="1"/>
    <col min="3368" max="3368" width="6.5703125" style="139" customWidth="1"/>
    <col min="3369" max="3369" width="16.140625" style="139" customWidth="1"/>
    <col min="3370" max="3370" width="11.85546875" style="139" customWidth="1"/>
    <col min="3371" max="3371" width="9.140625" style="139" customWidth="1"/>
    <col min="3372" max="3372" width="7.28515625" style="139" customWidth="1"/>
    <col min="3373" max="3373" width="9.7109375" style="139" customWidth="1"/>
    <col min="3374" max="3374" width="10.140625" style="139" bestFit="1" customWidth="1"/>
    <col min="3375" max="3376" width="8.85546875" style="139" customWidth="1"/>
    <col min="3377" max="3377" width="11.7109375" style="139" bestFit="1" customWidth="1"/>
    <col min="3378" max="3378" width="10.140625" style="139" bestFit="1" customWidth="1"/>
    <col min="3379" max="3379" width="9.140625" style="139" customWidth="1"/>
    <col min="3380" max="3380" width="8.85546875" style="139" customWidth="1"/>
    <col min="3381" max="3381" width="11.7109375" style="139" bestFit="1" customWidth="1"/>
    <col min="3382" max="3382" width="10.140625" style="139" bestFit="1" customWidth="1"/>
    <col min="3383" max="3384" width="8.85546875" style="139" customWidth="1"/>
    <col min="3385" max="3385" width="11.7109375" style="139" bestFit="1" customWidth="1"/>
    <col min="3386" max="3386" width="10.140625" style="139" bestFit="1" customWidth="1"/>
    <col min="3387" max="3388" width="8.85546875" style="139" customWidth="1"/>
    <col min="3389" max="3390" width="11.7109375" style="139" bestFit="1" customWidth="1"/>
    <col min="3391" max="3392" width="8.85546875" style="139" customWidth="1"/>
    <col min="3393" max="3393" width="11.7109375" style="139" bestFit="1" customWidth="1"/>
    <col min="3394" max="3394" width="11.7109375" style="139" customWidth="1"/>
    <col min="3395" max="3395" width="12" style="139" customWidth="1"/>
    <col min="3396" max="3396" width="12.7109375" style="139" customWidth="1"/>
    <col min="3397" max="3397" width="10.140625" style="139" bestFit="1" customWidth="1"/>
    <col min="3398" max="3622" width="8.85546875" style="139"/>
    <col min="3623" max="3623" width="6.140625" style="139" customWidth="1"/>
    <col min="3624" max="3624" width="6.5703125" style="139" customWidth="1"/>
    <col min="3625" max="3625" width="16.140625" style="139" customWidth="1"/>
    <col min="3626" max="3626" width="11.85546875" style="139" customWidth="1"/>
    <col min="3627" max="3627" width="9.140625" style="139" customWidth="1"/>
    <col min="3628" max="3628" width="7.28515625" style="139" customWidth="1"/>
    <col min="3629" max="3629" width="9.7109375" style="139" customWidth="1"/>
    <col min="3630" max="3630" width="10.140625" style="139" bestFit="1" customWidth="1"/>
    <col min="3631" max="3632" width="8.85546875" style="139" customWidth="1"/>
    <col min="3633" max="3633" width="11.7109375" style="139" bestFit="1" customWidth="1"/>
    <col min="3634" max="3634" width="10.140625" style="139" bestFit="1" customWidth="1"/>
    <col min="3635" max="3635" width="9.140625" style="139" customWidth="1"/>
    <col min="3636" max="3636" width="8.85546875" style="139" customWidth="1"/>
    <col min="3637" max="3637" width="11.7109375" style="139" bestFit="1" customWidth="1"/>
    <col min="3638" max="3638" width="10.140625" style="139" bestFit="1" customWidth="1"/>
    <col min="3639" max="3640" width="8.85546875" style="139" customWidth="1"/>
    <col min="3641" max="3641" width="11.7109375" style="139" bestFit="1" customWidth="1"/>
    <col min="3642" max="3642" width="10.140625" style="139" bestFit="1" customWidth="1"/>
    <col min="3643" max="3644" width="8.85546875" style="139" customWidth="1"/>
    <col min="3645" max="3646" width="11.7109375" style="139" bestFit="1" customWidth="1"/>
    <col min="3647" max="3648" width="8.85546875" style="139" customWidth="1"/>
    <col min="3649" max="3649" width="11.7109375" style="139" bestFit="1" customWidth="1"/>
    <col min="3650" max="3650" width="11.7109375" style="139" customWidth="1"/>
    <col min="3651" max="3651" width="12" style="139" customWidth="1"/>
    <col min="3652" max="3652" width="12.7109375" style="139" customWidth="1"/>
    <col min="3653" max="3653" width="10.140625" style="139" bestFit="1" customWidth="1"/>
    <col min="3654" max="3878" width="8.85546875" style="139"/>
    <col min="3879" max="3879" width="6.140625" style="139" customWidth="1"/>
    <col min="3880" max="3880" width="6.5703125" style="139" customWidth="1"/>
    <col min="3881" max="3881" width="16.140625" style="139" customWidth="1"/>
    <col min="3882" max="3882" width="11.85546875" style="139" customWidth="1"/>
    <col min="3883" max="3883" width="9.140625" style="139" customWidth="1"/>
    <col min="3884" max="3884" width="7.28515625" style="139" customWidth="1"/>
    <col min="3885" max="3885" width="9.7109375" style="139" customWidth="1"/>
    <col min="3886" max="3886" width="10.140625" style="139" bestFit="1" customWidth="1"/>
    <col min="3887" max="3888" width="8.85546875" style="139" customWidth="1"/>
    <col min="3889" max="3889" width="11.7109375" style="139" bestFit="1" customWidth="1"/>
    <col min="3890" max="3890" width="10.140625" style="139" bestFit="1" customWidth="1"/>
    <col min="3891" max="3891" width="9.140625" style="139" customWidth="1"/>
    <col min="3892" max="3892" width="8.85546875" style="139" customWidth="1"/>
    <col min="3893" max="3893" width="11.7109375" style="139" bestFit="1" customWidth="1"/>
    <col min="3894" max="3894" width="10.140625" style="139" bestFit="1" customWidth="1"/>
    <col min="3895" max="3896" width="8.85546875" style="139" customWidth="1"/>
    <col min="3897" max="3897" width="11.7109375" style="139" bestFit="1" customWidth="1"/>
    <col min="3898" max="3898" width="10.140625" style="139" bestFit="1" customWidth="1"/>
    <col min="3899" max="3900" width="8.85546875" style="139" customWidth="1"/>
    <col min="3901" max="3902" width="11.7109375" style="139" bestFit="1" customWidth="1"/>
    <col min="3903" max="3904" width="8.85546875" style="139" customWidth="1"/>
    <col min="3905" max="3905" width="11.7109375" style="139" bestFit="1" customWidth="1"/>
    <col min="3906" max="3906" width="11.7109375" style="139" customWidth="1"/>
    <col min="3907" max="3907" width="12" style="139" customWidth="1"/>
    <col min="3908" max="3908" width="12.7109375" style="139" customWidth="1"/>
    <col min="3909" max="3909" width="10.140625" style="139" bestFit="1" customWidth="1"/>
    <col min="3910" max="4134" width="8.85546875" style="139"/>
    <col min="4135" max="4135" width="6.140625" style="139" customWidth="1"/>
    <col min="4136" max="4136" width="6.5703125" style="139" customWidth="1"/>
    <col min="4137" max="4137" width="16.140625" style="139" customWidth="1"/>
    <col min="4138" max="4138" width="11.85546875" style="139" customWidth="1"/>
    <col min="4139" max="4139" width="9.140625" style="139" customWidth="1"/>
    <col min="4140" max="4140" width="7.28515625" style="139" customWidth="1"/>
    <col min="4141" max="4141" width="9.7109375" style="139" customWidth="1"/>
    <col min="4142" max="4142" width="10.140625" style="139" bestFit="1" customWidth="1"/>
    <col min="4143" max="4144" width="8.85546875" style="139" customWidth="1"/>
    <col min="4145" max="4145" width="11.7109375" style="139" bestFit="1" customWidth="1"/>
    <col min="4146" max="4146" width="10.140625" style="139" bestFit="1" customWidth="1"/>
    <col min="4147" max="4147" width="9.140625" style="139" customWidth="1"/>
    <col min="4148" max="4148" width="8.85546875" style="139" customWidth="1"/>
    <col min="4149" max="4149" width="11.7109375" style="139" bestFit="1" customWidth="1"/>
    <col min="4150" max="4150" width="10.140625" style="139" bestFit="1" customWidth="1"/>
    <col min="4151" max="4152" width="8.85546875" style="139" customWidth="1"/>
    <col min="4153" max="4153" width="11.7109375" style="139" bestFit="1" customWidth="1"/>
    <col min="4154" max="4154" width="10.140625" style="139" bestFit="1" customWidth="1"/>
    <col min="4155" max="4156" width="8.85546875" style="139" customWidth="1"/>
    <col min="4157" max="4158" width="11.7109375" style="139" bestFit="1" customWidth="1"/>
    <col min="4159" max="4160" width="8.85546875" style="139" customWidth="1"/>
    <col min="4161" max="4161" width="11.7109375" style="139" bestFit="1" customWidth="1"/>
    <col min="4162" max="4162" width="11.7109375" style="139" customWidth="1"/>
    <col min="4163" max="4163" width="12" style="139" customWidth="1"/>
    <col min="4164" max="4164" width="12.7109375" style="139" customWidth="1"/>
    <col min="4165" max="4165" width="10.140625" style="139" bestFit="1" customWidth="1"/>
    <col min="4166" max="4390" width="8.85546875" style="139"/>
    <col min="4391" max="4391" width="6.140625" style="139" customWidth="1"/>
    <col min="4392" max="4392" width="6.5703125" style="139" customWidth="1"/>
    <col min="4393" max="4393" width="16.140625" style="139" customWidth="1"/>
    <col min="4394" max="4394" width="11.85546875" style="139" customWidth="1"/>
    <col min="4395" max="4395" width="9.140625" style="139" customWidth="1"/>
    <col min="4396" max="4396" width="7.28515625" style="139" customWidth="1"/>
    <col min="4397" max="4397" width="9.7109375" style="139" customWidth="1"/>
    <col min="4398" max="4398" width="10.140625" style="139" bestFit="1" customWidth="1"/>
    <col min="4399" max="4400" width="8.85546875" style="139" customWidth="1"/>
    <col min="4401" max="4401" width="11.7109375" style="139" bestFit="1" customWidth="1"/>
    <col min="4402" max="4402" width="10.140625" style="139" bestFit="1" customWidth="1"/>
    <col min="4403" max="4403" width="9.140625" style="139" customWidth="1"/>
    <col min="4404" max="4404" width="8.85546875" style="139" customWidth="1"/>
    <col min="4405" max="4405" width="11.7109375" style="139" bestFit="1" customWidth="1"/>
    <col min="4406" max="4406" width="10.140625" style="139" bestFit="1" customWidth="1"/>
    <col min="4407" max="4408" width="8.85546875" style="139" customWidth="1"/>
    <col min="4409" max="4409" width="11.7109375" style="139" bestFit="1" customWidth="1"/>
    <col min="4410" max="4410" width="10.140625" style="139" bestFit="1" customWidth="1"/>
    <col min="4411" max="4412" width="8.85546875" style="139" customWidth="1"/>
    <col min="4413" max="4414" width="11.7109375" style="139" bestFit="1" customWidth="1"/>
    <col min="4415" max="4416" width="8.85546875" style="139" customWidth="1"/>
    <col min="4417" max="4417" width="11.7109375" style="139" bestFit="1" customWidth="1"/>
    <col min="4418" max="4418" width="11.7109375" style="139" customWidth="1"/>
    <col min="4419" max="4419" width="12" style="139" customWidth="1"/>
    <col min="4420" max="4420" width="12.7109375" style="139" customWidth="1"/>
    <col min="4421" max="4421" width="10.140625" style="139" bestFit="1" customWidth="1"/>
    <col min="4422" max="4646" width="8.85546875" style="139"/>
    <col min="4647" max="4647" width="6.140625" style="139" customWidth="1"/>
    <col min="4648" max="4648" width="6.5703125" style="139" customWidth="1"/>
    <col min="4649" max="4649" width="16.140625" style="139" customWidth="1"/>
    <col min="4650" max="4650" width="11.85546875" style="139" customWidth="1"/>
    <col min="4651" max="4651" width="9.140625" style="139" customWidth="1"/>
    <col min="4652" max="4652" width="7.28515625" style="139" customWidth="1"/>
    <col min="4653" max="4653" width="9.7109375" style="139" customWidth="1"/>
    <col min="4654" max="4654" width="10.140625" style="139" bestFit="1" customWidth="1"/>
    <col min="4655" max="4656" width="8.85546875" style="139" customWidth="1"/>
    <col min="4657" max="4657" width="11.7109375" style="139" bestFit="1" customWidth="1"/>
    <col min="4658" max="4658" width="10.140625" style="139" bestFit="1" customWidth="1"/>
    <col min="4659" max="4659" width="9.140625" style="139" customWidth="1"/>
    <col min="4660" max="4660" width="8.85546875" style="139" customWidth="1"/>
    <col min="4661" max="4661" width="11.7109375" style="139" bestFit="1" customWidth="1"/>
    <col min="4662" max="4662" width="10.140625" style="139" bestFit="1" customWidth="1"/>
    <col min="4663" max="4664" width="8.85546875" style="139" customWidth="1"/>
    <col min="4665" max="4665" width="11.7109375" style="139" bestFit="1" customWidth="1"/>
    <col min="4666" max="4666" width="10.140625" style="139" bestFit="1" customWidth="1"/>
    <col min="4667" max="4668" width="8.85546875" style="139" customWidth="1"/>
    <col min="4669" max="4670" width="11.7109375" style="139" bestFit="1" customWidth="1"/>
    <col min="4671" max="4672" width="8.85546875" style="139" customWidth="1"/>
    <col min="4673" max="4673" width="11.7109375" style="139" bestFit="1" customWidth="1"/>
    <col min="4674" max="4674" width="11.7109375" style="139" customWidth="1"/>
    <col min="4675" max="4675" width="12" style="139" customWidth="1"/>
    <col min="4676" max="4676" width="12.7109375" style="139" customWidth="1"/>
    <col min="4677" max="4677" width="10.140625" style="139" bestFit="1" customWidth="1"/>
    <col min="4678" max="4902" width="8.85546875" style="139"/>
    <col min="4903" max="4903" width="6.140625" style="139" customWidth="1"/>
    <col min="4904" max="4904" width="6.5703125" style="139" customWidth="1"/>
    <col min="4905" max="4905" width="16.140625" style="139" customWidth="1"/>
    <col min="4906" max="4906" width="11.85546875" style="139" customWidth="1"/>
    <col min="4907" max="4907" width="9.140625" style="139" customWidth="1"/>
    <col min="4908" max="4908" width="7.28515625" style="139" customWidth="1"/>
    <col min="4909" max="4909" width="9.7109375" style="139" customWidth="1"/>
    <col min="4910" max="4910" width="10.140625" style="139" bestFit="1" customWidth="1"/>
    <col min="4911" max="4912" width="8.85546875" style="139" customWidth="1"/>
    <col min="4913" max="4913" width="11.7109375" style="139" bestFit="1" customWidth="1"/>
    <col min="4914" max="4914" width="10.140625" style="139" bestFit="1" customWidth="1"/>
    <col min="4915" max="4915" width="9.140625" style="139" customWidth="1"/>
    <col min="4916" max="4916" width="8.85546875" style="139" customWidth="1"/>
    <col min="4917" max="4917" width="11.7109375" style="139" bestFit="1" customWidth="1"/>
    <col min="4918" max="4918" width="10.140625" style="139" bestFit="1" customWidth="1"/>
    <col min="4919" max="4920" width="8.85546875" style="139" customWidth="1"/>
    <col min="4921" max="4921" width="11.7109375" style="139" bestFit="1" customWidth="1"/>
    <col min="4922" max="4922" width="10.140625" style="139" bestFit="1" customWidth="1"/>
    <col min="4923" max="4924" width="8.85546875" style="139" customWidth="1"/>
    <col min="4925" max="4926" width="11.7109375" style="139" bestFit="1" customWidth="1"/>
    <col min="4927" max="4928" width="8.85546875" style="139" customWidth="1"/>
    <col min="4929" max="4929" width="11.7109375" style="139" bestFit="1" customWidth="1"/>
    <col min="4930" max="4930" width="11.7109375" style="139" customWidth="1"/>
    <col min="4931" max="4931" width="12" style="139" customWidth="1"/>
    <col min="4932" max="4932" width="12.7109375" style="139" customWidth="1"/>
    <col min="4933" max="4933" width="10.140625" style="139" bestFit="1" customWidth="1"/>
    <col min="4934" max="5158" width="8.85546875" style="139"/>
    <col min="5159" max="5159" width="6.140625" style="139" customWidth="1"/>
    <col min="5160" max="5160" width="6.5703125" style="139" customWidth="1"/>
    <col min="5161" max="5161" width="16.140625" style="139" customWidth="1"/>
    <col min="5162" max="5162" width="11.85546875" style="139" customWidth="1"/>
    <col min="5163" max="5163" width="9.140625" style="139" customWidth="1"/>
    <col min="5164" max="5164" width="7.28515625" style="139" customWidth="1"/>
    <col min="5165" max="5165" width="9.7109375" style="139" customWidth="1"/>
    <col min="5166" max="5166" width="10.140625" style="139" bestFit="1" customWidth="1"/>
    <col min="5167" max="5168" width="8.85546875" style="139" customWidth="1"/>
    <col min="5169" max="5169" width="11.7109375" style="139" bestFit="1" customWidth="1"/>
    <col min="5170" max="5170" width="10.140625" style="139" bestFit="1" customWidth="1"/>
    <col min="5171" max="5171" width="9.140625" style="139" customWidth="1"/>
    <col min="5172" max="5172" width="8.85546875" style="139" customWidth="1"/>
    <col min="5173" max="5173" width="11.7109375" style="139" bestFit="1" customWidth="1"/>
    <col min="5174" max="5174" width="10.140625" style="139" bestFit="1" customWidth="1"/>
    <col min="5175" max="5176" width="8.85546875" style="139" customWidth="1"/>
    <col min="5177" max="5177" width="11.7109375" style="139" bestFit="1" customWidth="1"/>
    <col min="5178" max="5178" width="10.140625" style="139" bestFit="1" customWidth="1"/>
    <col min="5179" max="5180" width="8.85546875" style="139" customWidth="1"/>
    <col min="5181" max="5182" width="11.7109375" style="139" bestFit="1" customWidth="1"/>
    <col min="5183" max="5184" width="8.85546875" style="139" customWidth="1"/>
    <col min="5185" max="5185" width="11.7109375" style="139" bestFit="1" customWidth="1"/>
    <col min="5186" max="5186" width="11.7109375" style="139" customWidth="1"/>
    <col min="5187" max="5187" width="12" style="139" customWidth="1"/>
    <col min="5188" max="5188" width="12.7109375" style="139" customWidth="1"/>
    <col min="5189" max="5189" width="10.140625" style="139" bestFit="1" customWidth="1"/>
    <col min="5190" max="5414" width="8.85546875" style="139"/>
    <col min="5415" max="5415" width="6.140625" style="139" customWidth="1"/>
    <col min="5416" max="5416" width="6.5703125" style="139" customWidth="1"/>
    <col min="5417" max="5417" width="16.140625" style="139" customWidth="1"/>
    <col min="5418" max="5418" width="11.85546875" style="139" customWidth="1"/>
    <col min="5419" max="5419" width="9.140625" style="139" customWidth="1"/>
    <col min="5420" max="5420" width="7.28515625" style="139" customWidth="1"/>
    <col min="5421" max="5421" width="9.7109375" style="139" customWidth="1"/>
    <col min="5422" max="5422" width="10.140625" style="139" bestFit="1" customWidth="1"/>
    <col min="5423" max="5424" width="8.85546875" style="139" customWidth="1"/>
    <col min="5425" max="5425" width="11.7109375" style="139" bestFit="1" customWidth="1"/>
    <col min="5426" max="5426" width="10.140625" style="139" bestFit="1" customWidth="1"/>
    <col min="5427" max="5427" width="9.140625" style="139" customWidth="1"/>
    <col min="5428" max="5428" width="8.85546875" style="139" customWidth="1"/>
    <col min="5429" max="5429" width="11.7109375" style="139" bestFit="1" customWidth="1"/>
    <col min="5430" max="5430" width="10.140625" style="139" bestFit="1" customWidth="1"/>
    <col min="5431" max="5432" width="8.85546875" style="139" customWidth="1"/>
    <col min="5433" max="5433" width="11.7109375" style="139" bestFit="1" customWidth="1"/>
    <col min="5434" max="5434" width="10.140625" style="139" bestFit="1" customWidth="1"/>
    <col min="5435" max="5436" width="8.85546875" style="139" customWidth="1"/>
    <col min="5437" max="5438" width="11.7109375" style="139" bestFit="1" customWidth="1"/>
    <col min="5439" max="5440" width="8.85546875" style="139" customWidth="1"/>
    <col min="5441" max="5441" width="11.7109375" style="139" bestFit="1" customWidth="1"/>
    <col min="5442" max="5442" width="11.7109375" style="139" customWidth="1"/>
    <col min="5443" max="5443" width="12" style="139" customWidth="1"/>
    <col min="5444" max="5444" width="12.7109375" style="139" customWidth="1"/>
    <col min="5445" max="5445" width="10.140625" style="139" bestFit="1" customWidth="1"/>
    <col min="5446" max="5670" width="8.85546875" style="139"/>
    <col min="5671" max="5671" width="6.140625" style="139" customWidth="1"/>
    <col min="5672" max="5672" width="6.5703125" style="139" customWidth="1"/>
    <col min="5673" max="5673" width="16.140625" style="139" customWidth="1"/>
    <col min="5674" max="5674" width="11.85546875" style="139" customWidth="1"/>
    <col min="5675" max="5675" width="9.140625" style="139" customWidth="1"/>
    <col min="5676" max="5676" width="7.28515625" style="139" customWidth="1"/>
    <col min="5677" max="5677" width="9.7109375" style="139" customWidth="1"/>
    <col min="5678" max="5678" width="10.140625" style="139" bestFit="1" customWidth="1"/>
    <col min="5679" max="5680" width="8.85546875" style="139" customWidth="1"/>
    <col min="5681" max="5681" width="11.7109375" style="139" bestFit="1" customWidth="1"/>
    <col min="5682" max="5682" width="10.140625" style="139" bestFit="1" customWidth="1"/>
    <col min="5683" max="5683" width="9.140625" style="139" customWidth="1"/>
    <col min="5684" max="5684" width="8.85546875" style="139" customWidth="1"/>
    <col min="5685" max="5685" width="11.7109375" style="139" bestFit="1" customWidth="1"/>
    <col min="5686" max="5686" width="10.140625" style="139" bestFit="1" customWidth="1"/>
    <col min="5687" max="5688" width="8.85546875" style="139" customWidth="1"/>
    <col min="5689" max="5689" width="11.7109375" style="139" bestFit="1" customWidth="1"/>
    <col min="5690" max="5690" width="10.140625" style="139" bestFit="1" customWidth="1"/>
    <col min="5691" max="5692" width="8.85546875" style="139" customWidth="1"/>
    <col min="5693" max="5694" width="11.7109375" style="139" bestFit="1" customWidth="1"/>
    <col min="5695" max="5696" width="8.85546875" style="139" customWidth="1"/>
    <col min="5697" max="5697" width="11.7109375" style="139" bestFit="1" customWidth="1"/>
    <col min="5698" max="5698" width="11.7109375" style="139" customWidth="1"/>
    <col min="5699" max="5699" width="12" style="139" customWidth="1"/>
    <col min="5700" max="5700" width="12.7109375" style="139" customWidth="1"/>
    <col min="5701" max="5701" width="10.140625" style="139" bestFit="1" customWidth="1"/>
    <col min="5702" max="5926" width="8.85546875" style="139"/>
    <col min="5927" max="5927" width="6.140625" style="139" customWidth="1"/>
    <col min="5928" max="5928" width="6.5703125" style="139" customWidth="1"/>
    <col min="5929" max="5929" width="16.140625" style="139" customWidth="1"/>
    <col min="5930" max="5930" width="11.85546875" style="139" customWidth="1"/>
    <col min="5931" max="5931" width="9.140625" style="139" customWidth="1"/>
    <col min="5932" max="5932" width="7.28515625" style="139" customWidth="1"/>
    <col min="5933" max="5933" width="9.7109375" style="139" customWidth="1"/>
    <col min="5934" max="5934" width="10.140625" style="139" bestFit="1" customWidth="1"/>
    <col min="5935" max="5936" width="8.85546875" style="139" customWidth="1"/>
    <col min="5937" max="5937" width="11.7109375" style="139" bestFit="1" customWidth="1"/>
    <col min="5938" max="5938" width="10.140625" style="139" bestFit="1" customWidth="1"/>
    <col min="5939" max="5939" width="9.140625" style="139" customWidth="1"/>
    <col min="5940" max="5940" width="8.85546875" style="139" customWidth="1"/>
    <col min="5941" max="5941" width="11.7109375" style="139" bestFit="1" customWidth="1"/>
    <col min="5942" max="5942" width="10.140625" style="139" bestFit="1" customWidth="1"/>
    <col min="5943" max="5944" width="8.85546875" style="139" customWidth="1"/>
    <col min="5945" max="5945" width="11.7109375" style="139" bestFit="1" customWidth="1"/>
    <col min="5946" max="5946" width="10.140625" style="139" bestFit="1" customWidth="1"/>
    <col min="5947" max="5948" width="8.85546875" style="139" customWidth="1"/>
    <col min="5949" max="5950" width="11.7109375" style="139" bestFit="1" customWidth="1"/>
    <col min="5951" max="5952" width="8.85546875" style="139" customWidth="1"/>
    <col min="5953" max="5953" width="11.7109375" style="139" bestFit="1" customWidth="1"/>
    <col min="5954" max="5954" width="11.7109375" style="139" customWidth="1"/>
    <col min="5955" max="5955" width="12" style="139" customWidth="1"/>
    <col min="5956" max="5956" width="12.7109375" style="139" customWidth="1"/>
    <col min="5957" max="5957" width="10.140625" style="139" bestFit="1" customWidth="1"/>
    <col min="5958" max="6182" width="8.85546875" style="139"/>
    <col min="6183" max="6183" width="6.140625" style="139" customWidth="1"/>
    <col min="6184" max="6184" width="6.5703125" style="139" customWidth="1"/>
    <col min="6185" max="6185" width="16.140625" style="139" customWidth="1"/>
    <col min="6186" max="6186" width="11.85546875" style="139" customWidth="1"/>
    <col min="6187" max="6187" width="9.140625" style="139" customWidth="1"/>
    <col min="6188" max="6188" width="7.28515625" style="139" customWidth="1"/>
    <col min="6189" max="6189" width="9.7109375" style="139" customWidth="1"/>
    <col min="6190" max="6190" width="10.140625" style="139" bestFit="1" customWidth="1"/>
    <col min="6191" max="6192" width="8.85546875" style="139" customWidth="1"/>
    <col min="6193" max="6193" width="11.7109375" style="139" bestFit="1" customWidth="1"/>
    <col min="6194" max="6194" width="10.140625" style="139" bestFit="1" customWidth="1"/>
    <col min="6195" max="6195" width="9.140625" style="139" customWidth="1"/>
    <col min="6196" max="6196" width="8.85546875" style="139" customWidth="1"/>
    <col min="6197" max="6197" width="11.7109375" style="139" bestFit="1" customWidth="1"/>
    <col min="6198" max="6198" width="10.140625" style="139" bestFit="1" customWidth="1"/>
    <col min="6199" max="6200" width="8.85546875" style="139" customWidth="1"/>
    <col min="6201" max="6201" width="11.7109375" style="139" bestFit="1" customWidth="1"/>
    <col min="6202" max="6202" width="10.140625" style="139" bestFit="1" customWidth="1"/>
    <col min="6203" max="6204" width="8.85546875" style="139" customWidth="1"/>
    <col min="6205" max="6206" width="11.7109375" style="139" bestFit="1" customWidth="1"/>
    <col min="6207" max="6208" width="8.85546875" style="139" customWidth="1"/>
    <col min="6209" max="6209" width="11.7109375" style="139" bestFit="1" customWidth="1"/>
    <col min="6210" max="6210" width="11.7109375" style="139" customWidth="1"/>
    <col min="6211" max="6211" width="12" style="139" customWidth="1"/>
    <col min="6212" max="6212" width="12.7109375" style="139" customWidth="1"/>
    <col min="6213" max="6213" width="10.140625" style="139" bestFit="1" customWidth="1"/>
    <col min="6214" max="6438" width="8.85546875" style="139"/>
    <col min="6439" max="6439" width="6.140625" style="139" customWidth="1"/>
    <col min="6440" max="6440" width="6.5703125" style="139" customWidth="1"/>
    <col min="6441" max="6441" width="16.140625" style="139" customWidth="1"/>
    <col min="6442" max="6442" width="11.85546875" style="139" customWidth="1"/>
    <col min="6443" max="6443" width="9.140625" style="139" customWidth="1"/>
    <col min="6444" max="6444" width="7.28515625" style="139" customWidth="1"/>
    <col min="6445" max="6445" width="9.7109375" style="139" customWidth="1"/>
    <col min="6446" max="6446" width="10.140625" style="139" bestFit="1" customWidth="1"/>
    <col min="6447" max="6448" width="8.85546875" style="139" customWidth="1"/>
    <col min="6449" max="6449" width="11.7109375" style="139" bestFit="1" customWidth="1"/>
    <col min="6450" max="6450" width="10.140625" style="139" bestFit="1" customWidth="1"/>
    <col min="6451" max="6451" width="9.140625" style="139" customWidth="1"/>
    <col min="6452" max="6452" width="8.85546875" style="139" customWidth="1"/>
    <col min="6453" max="6453" width="11.7109375" style="139" bestFit="1" customWidth="1"/>
    <col min="6454" max="6454" width="10.140625" style="139" bestFit="1" customWidth="1"/>
    <col min="6455" max="6456" width="8.85546875" style="139" customWidth="1"/>
    <col min="6457" max="6457" width="11.7109375" style="139" bestFit="1" customWidth="1"/>
    <col min="6458" max="6458" width="10.140625" style="139" bestFit="1" customWidth="1"/>
    <col min="6459" max="6460" width="8.85546875" style="139" customWidth="1"/>
    <col min="6461" max="6462" width="11.7109375" style="139" bestFit="1" customWidth="1"/>
    <col min="6463" max="6464" width="8.85546875" style="139" customWidth="1"/>
    <col min="6465" max="6465" width="11.7109375" style="139" bestFit="1" customWidth="1"/>
    <col min="6466" max="6466" width="11.7109375" style="139" customWidth="1"/>
    <col min="6467" max="6467" width="12" style="139" customWidth="1"/>
    <col min="6468" max="6468" width="12.7109375" style="139" customWidth="1"/>
    <col min="6469" max="6469" width="10.140625" style="139" bestFit="1" customWidth="1"/>
    <col min="6470" max="6694" width="8.85546875" style="139"/>
    <col min="6695" max="6695" width="6.140625" style="139" customWidth="1"/>
    <col min="6696" max="6696" width="6.5703125" style="139" customWidth="1"/>
    <col min="6697" max="6697" width="16.140625" style="139" customWidth="1"/>
    <col min="6698" max="6698" width="11.85546875" style="139" customWidth="1"/>
    <col min="6699" max="6699" width="9.140625" style="139" customWidth="1"/>
    <col min="6700" max="6700" width="7.28515625" style="139" customWidth="1"/>
    <col min="6701" max="6701" width="9.7109375" style="139" customWidth="1"/>
    <col min="6702" max="6702" width="10.140625" style="139" bestFit="1" customWidth="1"/>
    <col min="6703" max="6704" width="8.85546875" style="139" customWidth="1"/>
    <col min="6705" max="6705" width="11.7109375" style="139" bestFit="1" customWidth="1"/>
    <col min="6706" max="6706" width="10.140625" style="139" bestFit="1" customWidth="1"/>
    <col min="6707" max="6707" width="9.140625" style="139" customWidth="1"/>
    <col min="6708" max="6708" width="8.85546875" style="139" customWidth="1"/>
    <col min="6709" max="6709" width="11.7109375" style="139" bestFit="1" customWidth="1"/>
    <col min="6710" max="6710" width="10.140625" style="139" bestFit="1" customWidth="1"/>
    <col min="6711" max="6712" width="8.85546875" style="139" customWidth="1"/>
    <col min="6713" max="6713" width="11.7109375" style="139" bestFit="1" customWidth="1"/>
    <col min="6714" max="6714" width="10.140625" style="139" bestFit="1" customWidth="1"/>
    <col min="6715" max="6716" width="8.85546875" style="139" customWidth="1"/>
    <col min="6717" max="6718" width="11.7109375" style="139" bestFit="1" customWidth="1"/>
    <col min="6719" max="6720" width="8.85546875" style="139" customWidth="1"/>
    <col min="6721" max="6721" width="11.7109375" style="139" bestFit="1" customWidth="1"/>
    <col min="6722" max="6722" width="11.7109375" style="139" customWidth="1"/>
    <col min="6723" max="6723" width="12" style="139" customWidth="1"/>
    <col min="6724" max="6724" width="12.7109375" style="139" customWidth="1"/>
    <col min="6725" max="6725" width="10.140625" style="139" bestFit="1" customWidth="1"/>
    <col min="6726" max="6950" width="8.85546875" style="139"/>
    <col min="6951" max="6951" width="6.140625" style="139" customWidth="1"/>
    <col min="6952" max="6952" width="6.5703125" style="139" customWidth="1"/>
    <col min="6953" max="6953" width="16.140625" style="139" customWidth="1"/>
    <col min="6954" max="6954" width="11.85546875" style="139" customWidth="1"/>
    <col min="6955" max="6955" width="9.140625" style="139" customWidth="1"/>
    <col min="6956" max="6956" width="7.28515625" style="139" customWidth="1"/>
    <col min="6957" max="6957" width="9.7109375" style="139" customWidth="1"/>
    <col min="6958" max="6958" width="10.140625" style="139" bestFit="1" customWidth="1"/>
    <col min="6959" max="6960" width="8.85546875" style="139" customWidth="1"/>
    <col min="6961" max="6961" width="11.7109375" style="139" bestFit="1" customWidth="1"/>
    <col min="6962" max="6962" width="10.140625" style="139" bestFit="1" customWidth="1"/>
    <col min="6963" max="6963" width="9.140625" style="139" customWidth="1"/>
    <col min="6964" max="6964" width="8.85546875" style="139" customWidth="1"/>
    <col min="6965" max="6965" width="11.7109375" style="139" bestFit="1" customWidth="1"/>
    <col min="6966" max="6966" width="10.140625" style="139" bestFit="1" customWidth="1"/>
    <col min="6967" max="6968" width="8.85546875" style="139" customWidth="1"/>
    <col min="6969" max="6969" width="11.7109375" style="139" bestFit="1" customWidth="1"/>
    <col min="6970" max="6970" width="10.140625" style="139" bestFit="1" customWidth="1"/>
    <col min="6971" max="6972" width="8.85546875" style="139" customWidth="1"/>
    <col min="6973" max="6974" width="11.7109375" style="139" bestFit="1" customWidth="1"/>
    <col min="6975" max="6976" width="8.85546875" style="139" customWidth="1"/>
    <col min="6977" max="6977" width="11.7109375" style="139" bestFit="1" customWidth="1"/>
    <col min="6978" max="6978" width="11.7109375" style="139" customWidth="1"/>
    <col min="6979" max="6979" width="12" style="139" customWidth="1"/>
    <col min="6980" max="6980" width="12.7109375" style="139" customWidth="1"/>
    <col min="6981" max="6981" width="10.140625" style="139" bestFit="1" customWidth="1"/>
    <col min="6982" max="7206" width="8.85546875" style="139"/>
    <col min="7207" max="7207" width="6.140625" style="139" customWidth="1"/>
    <col min="7208" max="7208" width="6.5703125" style="139" customWidth="1"/>
    <col min="7209" max="7209" width="16.140625" style="139" customWidth="1"/>
    <col min="7210" max="7210" width="11.85546875" style="139" customWidth="1"/>
    <col min="7211" max="7211" width="9.140625" style="139" customWidth="1"/>
    <col min="7212" max="7212" width="7.28515625" style="139" customWidth="1"/>
    <col min="7213" max="7213" width="9.7109375" style="139" customWidth="1"/>
    <col min="7214" max="7214" width="10.140625" style="139" bestFit="1" customWidth="1"/>
    <col min="7215" max="7216" width="8.85546875" style="139" customWidth="1"/>
    <col min="7217" max="7217" width="11.7109375" style="139" bestFit="1" customWidth="1"/>
    <col min="7218" max="7218" width="10.140625" style="139" bestFit="1" customWidth="1"/>
    <col min="7219" max="7219" width="9.140625" style="139" customWidth="1"/>
    <col min="7220" max="7220" width="8.85546875" style="139" customWidth="1"/>
    <col min="7221" max="7221" width="11.7109375" style="139" bestFit="1" customWidth="1"/>
    <col min="7222" max="7222" width="10.140625" style="139" bestFit="1" customWidth="1"/>
    <col min="7223" max="7224" width="8.85546875" style="139" customWidth="1"/>
    <col min="7225" max="7225" width="11.7109375" style="139" bestFit="1" customWidth="1"/>
    <col min="7226" max="7226" width="10.140625" style="139" bestFit="1" customWidth="1"/>
    <col min="7227" max="7228" width="8.85546875" style="139" customWidth="1"/>
    <col min="7229" max="7230" width="11.7109375" style="139" bestFit="1" customWidth="1"/>
    <col min="7231" max="7232" width="8.85546875" style="139" customWidth="1"/>
    <col min="7233" max="7233" width="11.7109375" style="139" bestFit="1" customWidth="1"/>
    <col min="7234" max="7234" width="11.7109375" style="139" customWidth="1"/>
    <col min="7235" max="7235" width="12" style="139" customWidth="1"/>
    <col min="7236" max="7236" width="12.7109375" style="139" customWidth="1"/>
    <col min="7237" max="7237" width="10.140625" style="139" bestFit="1" customWidth="1"/>
    <col min="7238" max="7462" width="8.85546875" style="139"/>
    <col min="7463" max="7463" width="6.140625" style="139" customWidth="1"/>
    <col min="7464" max="7464" width="6.5703125" style="139" customWidth="1"/>
    <col min="7465" max="7465" width="16.140625" style="139" customWidth="1"/>
    <col min="7466" max="7466" width="11.85546875" style="139" customWidth="1"/>
    <col min="7467" max="7467" width="9.140625" style="139" customWidth="1"/>
    <col min="7468" max="7468" width="7.28515625" style="139" customWidth="1"/>
    <col min="7469" max="7469" width="9.7109375" style="139" customWidth="1"/>
    <col min="7470" max="7470" width="10.140625" style="139" bestFit="1" customWidth="1"/>
    <col min="7471" max="7472" width="8.85546875" style="139" customWidth="1"/>
    <col min="7473" max="7473" width="11.7109375" style="139" bestFit="1" customWidth="1"/>
    <col min="7474" max="7474" width="10.140625" style="139" bestFit="1" customWidth="1"/>
    <col min="7475" max="7475" width="9.140625" style="139" customWidth="1"/>
    <col min="7476" max="7476" width="8.85546875" style="139" customWidth="1"/>
    <col min="7477" max="7477" width="11.7109375" style="139" bestFit="1" customWidth="1"/>
    <col min="7478" max="7478" width="10.140625" style="139" bestFit="1" customWidth="1"/>
    <col min="7479" max="7480" width="8.85546875" style="139" customWidth="1"/>
    <col min="7481" max="7481" width="11.7109375" style="139" bestFit="1" customWidth="1"/>
    <col min="7482" max="7482" width="10.140625" style="139" bestFit="1" customWidth="1"/>
    <col min="7483" max="7484" width="8.85546875" style="139" customWidth="1"/>
    <col min="7485" max="7486" width="11.7109375" style="139" bestFit="1" customWidth="1"/>
    <col min="7487" max="7488" width="8.85546875" style="139" customWidth="1"/>
    <col min="7489" max="7489" width="11.7109375" style="139" bestFit="1" customWidth="1"/>
    <col min="7490" max="7490" width="11.7109375" style="139" customWidth="1"/>
    <col min="7491" max="7491" width="12" style="139" customWidth="1"/>
    <col min="7492" max="7492" width="12.7109375" style="139" customWidth="1"/>
    <col min="7493" max="7493" width="10.140625" style="139" bestFit="1" customWidth="1"/>
    <col min="7494" max="7718" width="8.85546875" style="139"/>
    <col min="7719" max="7719" width="6.140625" style="139" customWidth="1"/>
    <col min="7720" max="7720" width="6.5703125" style="139" customWidth="1"/>
    <col min="7721" max="7721" width="16.140625" style="139" customWidth="1"/>
    <col min="7722" max="7722" width="11.85546875" style="139" customWidth="1"/>
    <col min="7723" max="7723" width="9.140625" style="139" customWidth="1"/>
    <col min="7724" max="7724" width="7.28515625" style="139" customWidth="1"/>
    <col min="7725" max="7725" width="9.7109375" style="139" customWidth="1"/>
    <col min="7726" max="7726" width="10.140625" style="139" bestFit="1" customWidth="1"/>
    <col min="7727" max="7728" width="8.85546875" style="139" customWidth="1"/>
    <col min="7729" max="7729" width="11.7109375" style="139" bestFit="1" customWidth="1"/>
    <col min="7730" max="7730" width="10.140625" style="139" bestFit="1" customWidth="1"/>
    <col min="7731" max="7731" width="9.140625" style="139" customWidth="1"/>
    <col min="7732" max="7732" width="8.85546875" style="139" customWidth="1"/>
    <col min="7733" max="7733" width="11.7109375" style="139" bestFit="1" customWidth="1"/>
    <col min="7734" max="7734" width="10.140625" style="139" bestFit="1" customWidth="1"/>
    <col min="7735" max="7736" width="8.85546875" style="139" customWidth="1"/>
    <col min="7737" max="7737" width="11.7109375" style="139" bestFit="1" customWidth="1"/>
    <col min="7738" max="7738" width="10.140625" style="139" bestFit="1" customWidth="1"/>
    <col min="7739" max="7740" width="8.85546875" style="139" customWidth="1"/>
    <col min="7741" max="7742" width="11.7109375" style="139" bestFit="1" customWidth="1"/>
    <col min="7743" max="7744" width="8.85546875" style="139" customWidth="1"/>
    <col min="7745" max="7745" width="11.7109375" style="139" bestFit="1" customWidth="1"/>
    <col min="7746" max="7746" width="11.7109375" style="139" customWidth="1"/>
    <col min="7747" max="7747" width="12" style="139" customWidth="1"/>
    <col min="7748" max="7748" width="12.7109375" style="139" customWidth="1"/>
    <col min="7749" max="7749" width="10.140625" style="139" bestFit="1" customWidth="1"/>
    <col min="7750" max="7974" width="8.85546875" style="139"/>
    <col min="7975" max="7975" width="6.140625" style="139" customWidth="1"/>
    <col min="7976" max="7976" width="6.5703125" style="139" customWidth="1"/>
    <col min="7977" max="7977" width="16.140625" style="139" customWidth="1"/>
    <col min="7978" max="7978" width="11.85546875" style="139" customWidth="1"/>
    <col min="7979" max="7979" width="9.140625" style="139" customWidth="1"/>
    <col min="7980" max="7980" width="7.28515625" style="139" customWidth="1"/>
    <col min="7981" max="7981" width="9.7109375" style="139" customWidth="1"/>
    <col min="7982" max="7982" width="10.140625" style="139" bestFit="1" customWidth="1"/>
    <col min="7983" max="7984" width="8.85546875" style="139" customWidth="1"/>
    <col min="7985" max="7985" width="11.7109375" style="139" bestFit="1" customWidth="1"/>
    <col min="7986" max="7986" width="10.140625" style="139" bestFit="1" customWidth="1"/>
    <col min="7987" max="7987" width="9.140625" style="139" customWidth="1"/>
    <col min="7988" max="7988" width="8.85546875" style="139" customWidth="1"/>
    <col min="7989" max="7989" width="11.7109375" style="139" bestFit="1" customWidth="1"/>
    <col min="7990" max="7990" width="10.140625" style="139" bestFit="1" customWidth="1"/>
    <col min="7991" max="7992" width="8.85546875" style="139" customWidth="1"/>
    <col min="7993" max="7993" width="11.7109375" style="139" bestFit="1" customWidth="1"/>
    <col min="7994" max="7994" width="10.140625" style="139" bestFit="1" customWidth="1"/>
    <col min="7995" max="7996" width="8.85546875" style="139" customWidth="1"/>
    <col min="7997" max="7998" width="11.7109375" style="139" bestFit="1" customWidth="1"/>
    <col min="7999" max="8000" width="8.85546875" style="139" customWidth="1"/>
    <col min="8001" max="8001" width="11.7109375" style="139" bestFit="1" customWidth="1"/>
    <col min="8002" max="8002" width="11.7109375" style="139" customWidth="1"/>
    <col min="8003" max="8003" width="12" style="139" customWidth="1"/>
    <col min="8004" max="8004" width="12.7109375" style="139" customWidth="1"/>
    <col min="8005" max="8005" width="10.140625" style="139" bestFit="1" customWidth="1"/>
    <col min="8006" max="8230" width="8.85546875" style="139"/>
    <col min="8231" max="8231" width="6.140625" style="139" customWidth="1"/>
    <col min="8232" max="8232" width="6.5703125" style="139" customWidth="1"/>
    <col min="8233" max="8233" width="16.140625" style="139" customWidth="1"/>
    <col min="8234" max="8234" width="11.85546875" style="139" customWidth="1"/>
    <col min="8235" max="8235" width="9.140625" style="139" customWidth="1"/>
    <col min="8236" max="8236" width="7.28515625" style="139" customWidth="1"/>
    <col min="8237" max="8237" width="9.7109375" style="139" customWidth="1"/>
    <col min="8238" max="8238" width="10.140625" style="139" bestFit="1" customWidth="1"/>
    <col min="8239" max="8240" width="8.85546875" style="139" customWidth="1"/>
    <col min="8241" max="8241" width="11.7109375" style="139" bestFit="1" customWidth="1"/>
    <col min="8242" max="8242" width="10.140625" style="139" bestFit="1" customWidth="1"/>
    <col min="8243" max="8243" width="9.140625" style="139" customWidth="1"/>
    <col min="8244" max="8244" width="8.85546875" style="139" customWidth="1"/>
    <col min="8245" max="8245" width="11.7109375" style="139" bestFit="1" customWidth="1"/>
    <col min="8246" max="8246" width="10.140625" style="139" bestFit="1" customWidth="1"/>
    <col min="8247" max="8248" width="8.85546875" style="139" customWidth="1"/>
    <col min="8249" max="8249" width="11.7109375" style="139" bestFit="1" customWidth="1"/>
    <col min="8250" max="8250" width="10.140625" style="139" bestFit="1" customWidth="1"/>
    <col min="8251" max="8252" width="8.85546875" style="139" customWidth="1"/>
    <col min="8253" max="8254" width="11.7109375" style="139" bestFit="1" customWidth="1"/>
    <col min="8255" max="8256" width="8.85546875" style="139" customWidth="1"/>
    <col min="8257" max="8257" width="11.7109375" style="139" bestFit="1" customWidth="1"/>
    <col min="8258" max="8258" width="11.7109375" style="139" customWidth="1"/>
    <col min="8259" max="8259" width="12" style="139" customWidth="1"/>
    <col min="8260" max="8260" width="12.7109375" style="139" customWidth="1"/>
    <col min="8261" max="8261" width="10.140625" style="139" bestFit="1" customWidth="1"/>
    <col min="8262" max="8486" width="8.85546875" style="139"/>
    <col min="8487" max="8487" width="6.140625" style="139" customWidth="1"/>
    <col min="8488" max="8488" width="6.5703125" style="139" customWidth="1"/>
    <col min="8489" max="8489" width="16.140625" style="139" customWidth="1"/>
    <col min="8490" max="8490" width="11.85546875" style="139" customWidth="1"/>
    <col min="8491" max="8491" width="9.140625" style="139" customWidth="1"/>
    <col min="8492" max="8492" width="7.28515625" style="139" customWidth="1"/>
    <col min="8493" max="8493" width="9.7109375" style="139" customWidth="1"/>
    <col min="8494" max="8494" width="10.140625" style="139" bestFit="1" customWidth="1"/>
    <col min="8495" max="8496" width="8.85546875" style="139" customWidth="1"/>
    <col min="8497" max="8497" width="11.7109375" style="139" bestFit="1" customWidth="1"/>
    <col min="8498" max="8498" width="10.140625" style="139" bestFit="1" customWidth="1"/>
    <col min="8499" max="8499" width="9.140625" style="139" customWidth="1"/>
    <col min="8500" max="8500" width="8.85546875" style="139" customWidth="1"/>
    <col min="8501" max="8501" width="11.7109375" style="139" bestFit="1" customWidth="1"/>
    <col min="8502" max="8502" width="10.140625" style="139" bestFit="1" customWidth="1"/>
    <col min="8503" max="8504" width="8.85546875" style="139" customWidth="1"/>
    <col min="8505" max="8505" width="11.7109375" style="139" bestFit="1" customWidth="1"/>
    <col min="8506" max="8506" width="10.140625" style="139" bestFit="1" customWidth="1"/>
    <col min="8507" max="8508" width="8.85546875" style="139" customWidth="1"/>
    <col min="8509" max="8510" width="11.7109375" style="139" bestFit="1" customWidth="1"/>
    <col min="8511" max="8512" width="8.85546875" style="139" customWidth="1"/>
    <col min="8513" max="8513" width="11.7109375" style="139" bestFit="1" customWidth="1"/>
    <col min="8514" max="8514" width="11.7109375" style="139" customWidth="1"/>
    <col min="8515" max="8515" width="12" style="139" customWidth="1"/>
    <col min="8516" max="8516" width="12.7109375" style="139" customWidth="1"/>
    <col min="8517" max="8517" width="10.140625" style="139" bestFit="1" customWidth="1"/>
    <col min="8518" max="8742" width="8.85546875" style="139"/>
    <col min="8743" max="8743" width="6.140625" style="139" customWidth="1"/>
    <col min="8744" max="8744" width="6.5703125" style="139" customWidth="1"/>
    <col min="8745" max="8745" width="16.140625" style="139" customWidth="1"/>
    <col min="8746" max="8746" width="11.85546875" style="139" customWidth="1"/>
    <col min="8747" max="8747" width="9.140625" style="139" customWidth="1"/>
    <col min="8748" max="8748" width="7.28515625" style="139" customWidth="1"/>
    <col min="8749" max="8749" width="9.7109375" style="139" customWidth="1"/>
    <col min="8750" max="8750" width="10.140625" style="139" bestFit="1" customWidth="1"/>
    <col min="8751" max="8752" width="8.85546875" style="139" customWidth="1"/>
    <col min="8753" max="8753" width="11.7109375" style="139" bestFit="1" customWidth="1"/>
    <col min="8754" max="8754" width="10.140625" style="139" bestFit="1" customWidth="1"/>
    <col min="8755" max="8755" width="9.140625" style="139" customWidth="1"/>
    <col min="8756" max="8756" width="8.85546875" style="139" customWidth="1"/>
    <col min="8757" max="8757" width="11.7109375" style="139" bestFit="1" customWidth="1"/>
    <col min="8758" max="8758" width="10.140625" style="139" bestFit="1" customWidth="1"/>
    <col min="8759" max="8760" width="8.85546875" style="139" customWidth="1"/>
    <col min="8761" max="8761" width="11.7109375" style="139" bestFit="1" customWidth="1"/>
    <col min="8762" max="8762" width="10.140625" style="139" bestFit="1" customWidth="1"/>
    <col min="8763" max="8764" width="8.85546875" style="139" customWidth="1"/>
    <col min="8765" max="8766" width="11.7109375" style="139" bestFit="1" customWidth="1"/>
    <col min="8767" max="8768" width="8.85546875" style="139" customWidth="1"/>
    <col min="8769" max="8769" width="11.7109375" style="139" bestFit="1" customWidth="1"/>
    <col min="8770" max="8770" width="11.7109375" style="139" customWidth="1"/>
    <col min="8771" max="8771" width="12" style="139" customWidth="1"/>
    <col min="8772" max="8772" width="12.7109375" style="139" customWidth="1"/>
    <col min="8773" max="8773" width="10.140625" style="139" bestFit="1" customWidth="1"/>
    <col min="8774" max="8998" width="8.85546875" style="139"/>
    <col min="8999" max="8999" width="6.140625" style="139" customWidth="1"/>
    <col min="9000" max="9000" width="6.5703125" style="139" customWidth="1"/>
    <col min="9001" max="9001" width="16.140625" style="139" customWidth="1"/>
    <col min="9002" max="9002" width="11.85546875" style="139" customWidth="1"/>
    <col min="9003" max="9003" width="9.140625" style="139" customWidth="1"/>
    <col min="9004" max="9004" width="7.28515625" style="139" customWidth="1"/>
    <col min="9005" max="9005" width="9.7109375" style="139" customWidth="1"/>
    <col min="9006" max="9006" width="10.140625" style="139" bestFit="1" customWidth="1"/>
    <col min="9007" max="9008" width="8.85546875" style="139" customWidth="1"/>
    <col min="9009" max="9009" width="11.7109375" style="139" bestFit="1" customWidth="1"/>
    <col min="9010" max="9010" width="10.140625" style="139" bestFit="1" customWidth="1"/>
    <col min="9011" max="9011" width="9.140625" style="139" customWidth="1"/>
    <col min="9012" max="9012" width="8.85546875" style="139" customWidth="1"/>
    <col min="9013" max="9013" width="11.7109375" style="139" bestFit="1" customWidth="1"/>
    <col min="9014" max="9014" width="10.140625" style="139" bestFit="1" customWidth="1"/>
    <col min="9015" max="9016" width="8.85546875" style="139" customWidth="1"/>
    <col min="9017" max="9017" width="11.7109375" style="139" bestFit="1" customWidth="1"/>
    <col min="9018" max="9018" width="10.140625" style="139" bestFit="1" customWidth="1"/>
    <col min="9019" max="9020" width="8.85546875" style="139" customWidth="1"/>
    <col min="9021" max="9022" width="11.7109375" style="139" bestFit="1" customWidth="1"/>
    <col min="9023" max="9024" width="8.85546875" style="139" customWidth="1"/>
    <col min="9025" max="9025" width="11.7109375" style="139" bestFit="1" customWidth="1"/>
    <col min="9026" max="9026" width="11.7109375" style="139" customWidth="1"/>
    <col min="9027" max="9027" width="12" style="139" customWidth="1"/>
    <col min="9028" max="9028" width="12.7109375" style="139" customWidth="1"/>
    <col min="9029" max="9029" width="10.140625" style="139" bestFit="1" customWidth="1"/>
    <col min="9030" max="9254" width="8.85546875" style="139"/>
    <col min="9255" max="9255" width="6.140625" style="139" customWidth="1"/>
    <col min="9256" max="9256" width="6.5703125" style="139" customWidth="1"/>
    <col min="9257" max="9257" width="16.140625" style="139" customWidth="1"/>
    <col min="9258" max="9258" width="11.85546875" style="139" customWidth="1"/>
    <col min="9259" max="9259" width="9.140625" style="139" customWidth="1"/>
    <col min="9260" max="9260" width="7.28515625" style="139" customWidth="1"/>
    <col min="9261" max="9261" width="9.7109375" style="139" customWidth="1"/>
    <col min="9262" max="9262" width="10.140625" style="139" bestFit="1" customWidth="1"/>
    <col min="9263" max="9264" width="8.85546875" style="139" customWidth="1"/>
    <col min="9265" max="9265" width="11.7109375" style="139" bestFit="1" customWidth="1"/>
    <col min="9266" max="9266" width="10.140625" style="139" bestFit="1" customWidth="1"/>
    <col min="9267" max="9267" width="9.140625" style="139" customWidth="1"/>
    <col min="9268" max="9268" width="8.85546875" style="139" customWidth="1"/>
    <col min="9269" max="9269" width="11.7109375" style="139" bestFit="1" customWidth="1"/>
    <col min="9270" max="9270" width="10.140625" style="139" bestFit="1" customWidth="1"/>
    <col min="9271" max="9272" width="8.85546875" style="139" customWidth="1"/>
    <col min="9273" max="9273" width="11.7109375" style="139" bestFit="1" customWidth="1"/>
    <col min="9274" max="9274" width="10.140625" style="139" bestFit="1" customWidth="1"/>
    <col min="9275" max="9276" width="8.85546875" style="139" customWidth="1"/>
    <col min="9277" max="9278" width="11.7109375" style="139" bestFit="1" customWidth="1"/>
    <col min="9279" max="9280" width="8.85546875" style="139" customWidth="1"/>
    <col min="9281" max="9281" width="11.7109375" style="139" bestFit="1" customWidth="1"/>
    <col min="9282" max="9282" width="11.7109375" style="139" customWidth="1"/>
    <col min="9283" max="9283" width="12" style="139" customWidth="1"/>
    <col min="9284" max="9284" width="12.7109375" style="139" customWidth="1"/>
    <col min="9285" max="9285" width="10.140625" style="139" bestFit="1" customWidth="1"/>
    <col min="9286" max="9510" width="8.85546875" style="139"/>
    <col min="9511" max="9511" width="6.140625" style="139" customWidth="1"/>
    <col min="9512" max="9512" width="6.5703125" style="139" customWidth="1"/>
    <col min="9513" max="9513" width="16.140625" style="139" customWidth="1"/>
    <col min="9514" max="9514" width="11.85546875" style="139" customWidth="1"/>
    <col min="9515" max="9515" width="9.140625" style="139" customWidth="1"/>
    <col min="9516" max="9516" width="7.28515625" style="139" customWidth="1"/>
    <col min="9517" max="9517" width="9.7109375" style="139" customWidth="1"/>
    <col min="9518" max="9518" width="10.140625" style="139" bestFit="1" customWidth="1"/>
    <col min="9519" max="9520" width="8.85546875" style="139" customWidth="1"/>
    <col min="9521" max="9521" width="11.7109375" style="139" bestFit="1" customWidth="1"/>
    <col min="9522" max="9522" width="10.140625" style="139" bestFit="1" customWidth="1"/>
    <col min="9523" max="9523" width="9.140625" style="139" customWidth="1"/>
    <col min="9524" max="9524" width="8.85546875" style="139" customWidth="1"/>
    <col min="9525" max="9525" width="11.7109375" style="139" bestFit="1" customWidth="1"/>
    <col min="9526" max="9526" width="10.140625" style="139" bestFit="1" customWidth="1"/>
    <col min="9527" max="9528" width="8.85546875" style="139" customWidth="1"/>
    <col min="9529" max="9529" width="11.7109375" style="139" bestFit="1" customWidth="1"/>
    <col min="9530" max="9530" width="10.140625" style="139" bestFit="1" customWidth="1"/>
    <col min="9531" max="9532" width="8.85546875" style="139" customWidth="1"/>
    <col min="9533" max="9534" width="11.7109375" style="139" bestFit="1" customWidth="1"/>
    <col min="9535" max="9536" width="8.85546875" style="139" customWidth="1"/>
    <col min="9537" max="9537" width="11.7109375" style="139" bestFit="1" customWidth="1"/>
    <col min="9538" max="9538" width="11.7109375" style="139" customWidth="1"/>
    <col min="9539" max="9539" width="12" style="139" customWidth="1"/>
    <col min="9540" max="9540" width="12.7109375" style="139" customWidth="1"/>
    <col min="9541" max="9541" width="10.140625" style="139" bestFit="1" customWidth="1"/>
    <col min="9542" max="9766" width="8.85546875" style="139"/>
    <col min="9767" max="9767" width="6.140625" style="139" customWidth="1"/>
    <col min="9768" max="9768" width="6.5703125" style="139" customWidth="1"/>
    <col min="9769" max="9769" width="16.140625" style="139" customWidth="1"/>
    <col min="9770" max="9770" width="11.85546875" style="139" customWidth="1"/>
    <col min="9771" max="9771" width="9.140625" style="139" customWidth="1"/>
    <col min="9772" max="9772" width="7.28515625" style="139" customWidth="1"/>
    <col min="9773" max="9773" width="9.7109375" style="139" customWidth="1"/>
    <col min="9774" max="9774" width="10.140625" style="139" bestFit="1" customWidth="1"/>
    <col min="9775" max="9776" width="8.85546875" style="139" customWidth="1"/>
    <col min="9777" max="9777" width="11.7109375" style="139" bestFit="1" customWidth="1"/>
    <col min="9778" max="9778" width="10.140625" style="139" bestFit="1" customWidth="1"/>
    <col min="9779" max="9779" width="9.140625" style="139" customWidth="1"/>
    <col min="9780" max="9780" width="8.85546875" style="139" customWidth="1"/>
    <col min="9781" max="9781" width="11.7109375" style="139" bestFit="1" customWidth="1"/>
    <col min="9782" max="9782" width="10.140625" style="139" bestFit="1" customWidth="1"/>
    <col min="9783" max="9784" width="8.85546875" style="139" customWidth="1"/>
    <col min="9785" max="9785" width="11.7109375" style="139" bestFit="1" customWidth="1"/>
    <col min="9786" max="9786" width="10.140625" style="139" bestFit="1" customWidth="1"/>
    <col min="9787" max="9788" width="8.85546875" style="139" customWidth="1"/>
    <col min="9789" max="9790" width="11.7109375" style="139" bestFit="1" customWidth="1"/>
    <col min="9791" max="9792" width="8.85546875" style="139" customWidth="1"/>
    <col min="9793" max="9793" width="11.7109375" style="139" bestFit="1" customWidth="1"/>
    <col min="9794" max="9794" width="11.7109375" style="139" customWidth="1"/>
    <col min="9795" max="9795" width="12" style="139" customWidth="1"/>
    <col min="9796" max="9796" width="12.7109375" style="139" customWidth="1"/>
    <col min="9797" max="9797" width="10.140625" style="139" bestFit="1" customWidth="1"/>
    <col min="9798" max="10022" width="8.85546875" style="139"/>
    <col min="10023" max="10023" width="6.140625" style="139" customWidth="1"/>
    <col min="10024" max="10024" width="6.5703125" style="139" customWidth="1"/>
    <col min="10025" max="10025" width="16.140625" style="139" customWidth="1"/>
    <col min="10026" max="10026" width="11.85546875" style="139" customWidth="1"/>
    <col min="10027" max="10027" width="9.140625" style="139" customWidth="1"/>
    <col min="10028" max="10028" width="7.28515625" style="139" customWidth="1"/>
    <col min="10029" max="10029" width="9.7109375" style="139" customWidth="1"/>
    <col min="10030" max="10030" width="10.140625" style="139" bestFit="1" customWidth="1"/>
    <col min="10031" max="10032" width="8.85546875" style="139" customWidth="1"/>
    <col min="10033" max="10033" width="11.7109375" style="139" bestFit="1" customWidth="1"/>
    <col min="10034" max="10034" width="10.140625" style="139" bestFit="1" customWidth="1"/>
    <col min="10035" max="10035" width="9.140625" style="139" customWidth="1"/>
    <col min="10036" max="10036" width="8.85546875" style="139" customWidth="1"/>
    <col min="10037" max="10037" width="11.7109375" style="139" bestFit="1" customWidth="1"/>
    <col min="10038" max="10038" width="10.140625" style="139" bestFit="1" customWidth="1"/>
    <col min="10039" max="10040" width="8.85546875" style="139" customWidth="1"/>
    <col min="10041" max="10041" width="11.7109375" style="139" bestFit="1" customWidth="1"/>
    <col min="10042" max="10042" width="10.140625" style="139" bestFit="1" customWidth="1"/>
    <col min="10043" max="10044" width="8.85546875" style="139" customWidth="1"/>
    <col min="10045" max="10046" width="11.7109375" style="139" bestFit="1" customWidth="1"/>
    <col min="10047" max="10048" width="8.85546875" style="139" customWidth="1"/>
    <col min="10049" max="10049" width="11.7109375" style="139" bestFit="1" customWidth="1"/>
    <col min="10050" max="10050" width="11.7109375" style="139" customWidth="1"/>
    <col min="10051" max="10051" width="12" style="139" customWidth="1"/>
    <col min="10052" max="10052" width="12.7109375" style="139" customWidth="1"/>
    <col min="10053" max="10053" width="10.140625" style="139" bestFit="1" customWidth="1"/>
    <col min="10054" max="10278" width="8.85546875" style="139"/>
    <col min="10279" max="10279" width="6.140625" style="139" customWidth="1"/>
    <col min="10280" max="10280" width="6.5703125" style="139" customWidth="1"/>
    <col min="10281" max="10281" width="16.140625" style="139" customWidth="1"/>
    <col min="10282" max="10282" width="11.85546875" style="139" customWidth="1"/>
    <col min="10283" max="10283" width="9.140625" style="139" customWidth="1"/>
    <col min="10284" max="10284" width="7.28515625" style="139" customWidth="1"/>
    <col min="10285" max="10285" width="9.7109375" style="139" customWidth="1"/>
    <col min="10286" max="10286" width="10.140625" style="139" bestFit="1" customWidth="1"/>
    <col min="10287" max="10288" width="8.85546875" style="139" customWidth="1"/>
    <col min="10289" max="10289" width="11.7109375" style="139" bestFit="1" customWidth="1"/>
    <col min="10290" max="10290" width="10.140625" style="139" bestFit="1" customWidth="1"/>
    <col min="10291" max="10291" width="9.140625" style="139" customWidth="1"/>
    <col min="10292" max="10292" width="8.85546875" style="139" customWidth="1"/>
    <col min="10293" max="10293" width="11.7109375" style="139" bestFit="1" customWidth="1"/>
    <col min="10294" max="10294" width="10.140625" style="139" bestFit="1" customWidth="1"/>
    <col min="10295" max="10296" width="8.85546875" style="139" customWidth="1"/>
    <col min="10297" max="10297" width="11.7109375" style="139" bestFit="1" customWidth="1"/>
    <col min="10298" max="10298" width="10.140625" style="139" bestFit="1" customWidth="1"/>
    <col min="10299" max="10300" width="8.85546875" style="139" customWidth="1"/>
    <col min="10301" max="10302" width="11.7109375" style="139" bestFit="1" customWidth="1"/>
    <col min="10303" max="10304" width="8.85546875" style="139" customWidth="1"/>
    <col min="10305" max="10305" width="11.7109375" style="139" bestFit="1" customWidth="1"/>
    <col min="10306" max="10306" width="11.7109375" style="139" customWidth="1"/>
    <col min="10307" max="10307" width="12" style="139" customWidth="1"/>
    <col min="10308" max="10308" width="12.7109375" style="139" customWidth="1"/>
    <col min="10309" max="10309" width="10.140625" style="139" bestFit="1" customWidth="1"/>
    <col min="10310" max="10534" width="8.85546875" style="139"/>
    <col min="10535" max="10535" width="6.140625" style="139" customWidth="1"/>
    <col min="10536" max="10536" width="6.5703125" style="139" customWidth="1"/>
    <col min="10537" max="10537" width="16.140625" style="139" customWidth="1"/>
    <col min="10538" max="10538" width="11.85546875" style="139" customWidth="1"/>
    <col min="10539" max="10539" width="9.140625" style="139" customWidth="1"/>
    <col min="10540" max="10540" width="7.28515625" style="139" customWidth="1"/>
    <col min="10541" max="10541" width="9.7109375" style="139" customWidth="1"/>
    <col min="10542" max="10542" width="10.140625" style="139" bestFit="1" customWidth="1"/>
    <col min="10543" max="10544" width="8.85546875" style="139" customWidth="1"/>
    <col min="10545" max="10545" width="11.7109375" style="139" bestFit="1" customWidth="1"/>
    <col min="10546" max="10546" width="10.140625" style="139" bestFit="1" customWidth="1"/>
    <col min="10547" max="10547" width="9.140625" style="139" customWidth="1"/>
    <col min="10548" max="10548" width="8.85546875" style="139" customWidth="1"/>
    <col min="10549" max="10549" width="11.7109375" style="139" bestFit="1" customWidth="1"/>
    <col min="10550" max="10550" width="10.140625" style="139" bestFit="1" customWidth="1"/>
    <col min="10551" max="10552" width="8.85546875" style="139" customWidth="1"/>
    <col min="10553" max="10553" width="11.7109375" style="139" bestFit="1" customWidth="1"/>
    <col min="10554" max="10554" width="10.140625" style="139" bestFit="1" customWidth="1"/>
    <col min="10555" max="10556" width="8.85546875" style="139" customWidth="1"/>
    <col min="10557" max="10558" width="11.7109375" style="139" bestFit="1" customWidth="1"/>
    <col min="10559" max="10560" width="8.85546875" style="139" customWidth="1"/>
    <col min="10561" max="10561" width="11.7109375" style="139" bestFit="1" customWidth="1"/>
    <col min="10562" max="10562" width="11.7109375" style="139" customWidth="1"/>
    <col min="10563" max="10563" width="12" style="139" customWidth="1"/>
    <col min="10564" max="10564" width="12.7109375" style="139" customWidth="1"/>
    <col min="10565" max="10565" width="10.140625" style="139" bestFit="1" customWidth="1"/>
    <col min="10566" max="10790" width="8.85546875" style="139"/>
    <col min="10791" max="10791" width="6.140625" style="139" customWidth="1"/>
    <col min="10792" max="10792" width="6.5703125" style="139" customWidth="1"/>
    <col min="10793" max="10793" width="16.140625" style="139" customWidth="1"/>
    <col min="10794" max="10794" width="11.85546875" style="139" customWidth="1"/>
    <col min="10795" max="10795" width="9.140625" style="139" customWidth="1"/>
    <col min="10796" max="10796" width="7.28515625" style="139" customWidth="1"/>
    <col min="10797" max="10797" width="9.7109375" style="139" customWidth="1"/>
    <col min="10798" max="10798" width="10.140625" style="139" bestFit="1" customWidth="1"/>
    <col min="10799" max="10800" width="8.85546875" style="139" customWidth="1"/>
    <col min="10801" max="10801" width="11.7109375" style="139" bestFit="1" customWidth="1"/>
    <col min="10802" max="10802" width="10.140625" style="139" bestFit="1" customWidth="1"/>
    <col min="10803" max="10803" width="9.140625" style="139" customWidth="1"/>
    <col min="10804" max="10804" width="8.85546875" style="139" customWidth="1"/>
    <col min="10805" max="10805" width="11.7109375" style="139" bestFit="1" customWidth="1"/>
    <col min="10806" max="10806" width="10.140625" style="139" bestFit="1" customWidth="1"/>
    <col min="10807" max="10808" width="8.85546875" style="139" customWidth="1"/>
    <col min="10809" max="10809" width="11.7109375" style="139" bestFit="1" customWidth="1"/>
    <col min="10810" max="10810" width="10.140625" style="139" bestFit="1" customWidth="1"/>
    <col min="10811" max="10812" width="8.85546875" style="139" customWidth="1"/>
    <col min="10813" max="10814" width="11.7109375" style="139" bestFit="1" customWidth="1"/>
    <col min="10815" max="10816" width="8.85546875" style="139" customWidth="1"/>
    <col min="10817" max="10817" width="11.7109375" style="139" bestFit="1" customWidth="1"/>
    <col min="10818" max="10818" width="11.7109375" style="139" customWidth="1"/>
    <col min="10819" max="10819" width="12" style="139" customWidth="1"/>
    <col min="10820" max="10820" width="12.7109375" style="139" customWidth="1"/>
    <col min="10821" max="10821" width="10.140625" style="139" bestFit="1" customWidth="1"/>
    <col min="10822" max="11046" width="8.85546875" style="139"/>
    <col min="11047" max="11047" width="6.140625" style="139" customWidth="1"/>
    <col min="11048" max="11048" width="6.5703125" style="139" customWidth="1"/>
    <col min="11049" max="11049" width="16.140625" style="139" customWidth="1"/>
    <col min="11050" max="11050" width="11.85546875" style="139" customWidth="1"/>
    <col min="11051" max="11051" width="9.140625" style="139" customWidth="1"/>
    <col min="11052" max="11052" width="7.28515625" style="139" customWidth="1"/>
    <col min="11053" max="11053" width="9.7109375" style="139" customWidth="1"/>
    <col min="11054" max="11054" width="10.140625" style="139" bestFit="1" customWidth="1"/>
    <col min="11055" max="11056" width="8.85546875" style="139" customWidth="1"/>
    <col min="11057" max="11057" width="11.7109375" style="139" bestFit="1" customWidth="1"/>
    <col min="11058" max="11058" width="10.140625" style="139" bestFit="1" customWidth="1"/>
    <col min="11059" max="11059" width="9.140625" style="139" customWidth="1"/>
    <col min="11060" max="11060" width="8.85546875" style="139" customWidth="1"/>
    <col min="11061" max="11061" width="11.7109375" style="139" bestFit="1" customWidth="1"/>
    <col min="11062" max="11062" width="10.140625" style="139" bestFit="1" customWidth="1"/>
    <col min="11063" max="11064" width="8.85546875" style="139" customWidth="1"/>
    <col min="11065" max="11065" width="11.7109375" style="139" bestFit="1" customWidth="1"/>
    <col min="11066" max="11066" width="10.140625" style="139" bestFit="1" customWidth="1"/>
    <col min="11067" max="11068" width="8.85546875" style="139" customWidth="1"/>
    <col min="11069" max="11070" width="11.7109375" style="139" bestFit="1" customWidth="1"/>
    <col min="11071" max="11072" width="8.85546875" style="139" customWidth="1"/>
    <col min="11073" max="11073" width="11.7109375" style="139" bestFit="1" customWidth="1"/>
    <col min="11074" max="11074" width="11.7109375" style="139" customWidth="1"/>
    <col min="11075" max="11075" width="12" style="139" customWidth="1"/>
    <col min="11076" max="11076" width="12.7109375" style="139" customWidth="1"/>
    <col min="11077" max="11077" width="10.140625" style="139" bestFit="1" customWidth="1"/>
    <col min="11078" max="11302" width="8.85546875" style="139"/>
    <col min="11303" max="11303" width="6.140625" style="139" customWidth="1"/>
    <col min="11304" max="11304" width="6.5703125" style="139" customWidth="1"/>
    <col min="11305" max="11305" width="16.140625" style="139" customWidth="1"/>
    <col min="11306" max="11306" width="11.85546875" style="139" customWidth="1"/>
    <col min="11307" max="11307" width="9.140625" style="139" customWidth="1"/>
    <col min="11308" max="11308" width="7.28515625" style="139" customWidth="1"/>
    <col min="11309" max="11309" width="9.7109375" style="139" customWidth="1"/>
    <col min="11310" max="11310" width="10.140625" style="139" bestFit="1" customWidth="1"/>
    <col min="11311" max="11312" width="8.85546875" style="139" customWidth="1"/>
    <col min="11313" max="11313" width="11.7109375" style="139" bestFit="1" customWidth="1"/>
    <col min="11314" max="11314" width="10.140625" style="139" bestFit="1" customWidth="1"/>
    <col min="11315" max="11315" width="9.140625" style="139" customWidth="1"/>
    <col min="11316" max="11316" width="8.85546875" style="139" customWidth="1"/>
    <col min="11317" max="11317" width="11.7109375" style="139" bestFit="1" customWidth="1"/>
    <col min="11318" max="11318" width="10.140625" style="139" bestFit="1" customWidth="1"/>
    <col min="11319" max="11320" width="8.85546875" style="139" customWidth="1"/>
    <col min="11321" max="11321" width="11.7109375" style="139" bestFit="1" customWidth="1"/>
    <col min="11322" max="11322" width="10.140625" style="139" bestFit="1" customWidth="1"/>
    <col min="11323" max="11324" width="8.85546875" style="139" customWidth="1"/>
    <col min="11325" max="11326" width="11.7109375" style="139" bestFit="1" customWidth="1"/>
    <col min="11327" max="11328" width="8.85546875" style="139" customWidth="1"/>
    <col min="11329" max="11329" width="11.7109375" style="139" bestFit="1" customWidth="1"/>
    <col min="11330" max="11330" width="11.7109375" style="139" customWidth="1"/>
    <col min="11331" max="11331" width="12" style="139" customWidth="1"/>
    <col min="11332" max="11332" width="12.7109375" style="139" customWidth="1"/>
    <col min="11333" max="11333" width="10.140625" style="139" bestFit="1" customWidth="1"/>
    <col min="11334" max="11558" width="8.85546875" style="139"/>
    <col min="11559" max="11559" width="6.140625" style="139" customWidth="1"/>
    <col min="11560" max="11560" width="6.5703125" style="139" customWidth="1"/>
    <col min="11561" max="11561" width="16.140625" style="139" customWidth="1"/>
    <col min="11562" max="11562" width="11.85546875" style="139" customWidth="1"/>
    <col min="11563" max="11563" width="9.140625" style="139" customWidth="1"/>
    <col min="11564" max="11564" width="7.28515625" style="139" customWidth="1"/>
    <col min="11565" max="11565" width="9.7109375" style="139" customWidth="1"/>
    <col min="11566" max="11566" width="10.140625" style="139" bestFit="1" customWidth="1"/>
    <col min="11567" max="11568" width="8.85546875" style="139" customWidth="1"/>
    <col min="11569" max="11569" width="11.7109375" style="139" bestFit="1" customWidth="1"/>
    <col min="11570" max="11570" width="10.140625" style="139" bestFit="1" customWidth="1"/>
    <col min="11571" max="11571" width="9.140625" style="139" customWidth="1"/>
    <col min="11572" max="11572" width="8.85546875" style="139" customWidth="1"/>
    <col min="11573" max="11573" width="11.7109375" style="139" bestFit="1" customWidth="1"/>
    <col min="11574" max="11574" width="10.140625" style="139" bestFit="1" customWidth="1"/>
    <col min="11575" max="11576" width="8.85546875" style="139" customWidth="1"/>
    <col min="11577" max="11577" width="11.7109375" style="139" bestFit="1" customWidth="1"/>
    <col min="11578" max="11578" width="10.140625" style="139" bestFit="1" customWidth="1"/>
    <col min="11579" max="11580" width="8.85546875" style="139" customWidth="1"/>
    <col min="11581" max="11582" width="11.7109375" style="139" bestFit="1" customWidth="1"/>
    <col min="11583" max="11584" width="8.85546875" style="139" customWidth="1"/>
    <col min="11585" max="11585" width="11.7109375" style="139" bestFit="1" customWidth="1"/>
    <col min="11586" max="11586" width="11.7109375" style="139" customWidth="1"/>
    <col min="11587" max="11587" width="12" style="139" customWidth="1"/>
    <col min="11588" max="11588" width="12.7109375" style="139" customWidth="1"/>
    <col min="11589" max="11589" width="10.140625" style="139" bestFit="1" customWidth="1"/>
    <col min="11590" max="11814" width="8.85546875" style="139"/>
    <col min="11815" max="11815" width="6.140625" style="139" customWidth="1"/>
    <col min="11816" max="11816" width="6.5703125" style="139" customWidth="1"/>
    <col min="11817" max="11817" width="16.140625" style="139" customWidth="1"/>
    <col min="11818" max="11818" width="11.85546875" style="139" customWidth="1"/>
    <col min="11819" max="11819" width="9.140625" style="139" customWidth="1"/>
    <col min="11820" max="11820" width="7.28515625" style="139" customWidth="1"/>
    <col min="11821" max="11821" width="9.7109375" style="139" customWidth="1"/>
    <col min="11822" max="11822" width="10.140625" style="139" bestFit="1" customWidth="1"/>
    <col min="11823" max="11824" width="8.85546875" style="139" customWidth="1"/>
    <col min="11825" max="11825" width="11.7109375" style="139" bestFit="1" customWidth="1"/>
    <col min="11826" max="11826" width="10.140625" style="139" bestFit="1" customWidth="1"/>
    <col min="11827" max="11827" width="9.140625" style="139" customWidth="1"/>
    <col min="11828" max="11828" width="8.85546875" style="139" customWidth="1"/>
    <col min="11829" max="11829" width="11.7109375" style="139" bestFit="1" customWidth="1"/>
    <col min="11830" max="11830" width="10.140625" style="139" bestFit="1" customWidth="1"/>
    <col min="11831" max="11832" width="8.85546875" style="139" customWidth="1"/>
    <col min="11833" max="11833" width="11.7109375" style="139" bestFit="1" customWidth="1"/>
    <col min="11834" max="11834" width="10.140625" style="139" bestFit="1" customWidth="1"/>
    <col min="11835" max="11836" width="8.85546875" style="139" customWidth="1"/>
    <col min="11837" max="11838" width="11.7109375" style="139" bestFit="1" customWidth="1"/>
    <col min="11839" max="11840" width="8.85546875" style="139" customWidth="1"/>
    <col min="11841" max="11841" width="11.7109375" style="139" bestFit="1" customWidth="1"/>
    <col min="11842" max="11842" width="11.7109375" style="139" customWidth="1"/>
    <col min="11843" max="11843" width="12" style="139" customWidth="1"/>
    <col min="11844" max="11844" width="12.7109375" style="139" customWidth="1"/>
    <col min="11845" max="11845" width="10.140625" style="139" bestFit="1" customWidth="1"/>
    <col min="11846" max="12070" width="8.85546875" style="139"/>
    <col min="12071" max="12071" width="6.140625" style="139" customWidth="1"/>
    <col min="12072" max="12072" width="6.5703125" style="139" customWidth="1"/>
    <col min="12073" max="12073" width="16.140625" style="139" customWidth="1"/>
    <col min="12074" max="12074" width="11.85546875" style="139" customWidth="1"/>
    <col min="12075" max="12075" width="9.140625" style="139" customWidth="1"/>
    <col min="12076" max="12076" width="7.28515625" style="139" customWidth="1"/>
    <col min="12077" max="12077" width="9.7109375" style="139" customWidth="1"/>
    <col min="12078" max="12078" width="10.140625" style="139" bestFit="1" customWidth="1"/>
    <col min="12079" max="12080" width="8.85546875" style="139" customWidth="1"/>
    <col min="12081" max="12081" width="11.7109375" style="139" bestFit="1" customWidth="1"/>
    <col min="12082" max="12082" width="10.140625" style="139" bestFit="1" customWidth="1"/>
    <col min="12083" max="12083" width="9.140625" style="139" customWidth="1"/>
    <col min="12084" max="12084" width="8.85546875" style="139" customWidth="1"/>
    <col min="12085" max="12085" width="11.7109375" style="139" bestFit="1" customWidth="1"/>
    <col min="12086" max="12086" width="10.140625" style="139" bestFit="1" customWidth="1"/>
    <col min="12087" max="12088" width="8.85546875" style="139" customWidth="1"/>
    <col min="12089" max="12089" width="11.7109375" style="139" bestFit="1" customWidth="1"/>
    <col min="12090" max="12090" width="10.140625" style="139" bestFit="1" customWidth="1"/>
    <col min="12091" max="12092" width="8.85546875" style="139" customWidth="1"/>
    <col min="12093" max="12094" width="11.7109375" style="139" bestFit="1" customWidth="1"/>
    <col min="12095" max="12096" width="8.85546875" style="139" customWidth="1"/>
    <col min="12097" max="12097" width="11.7109375" style="139" bestFit="1" customWidth="1"/>
    <col min="12098" max="12098" width="11.7109375" style="139" customWidth="1"/>
    <col min="12099" max="12099" width="12" style="139" customWidth="1"/>
    <col min="12100" max="12100" width="12.7109375" style="139" customWidth="1"/>
    <col min="12101" max="12101" width="10.140625" style="139" bestFit="1" customWidth="1"/>
    <col min="12102" max="12326" width="8.85546875" style="139"/>
    <col min="12327" max="12327" width="6.140625" style="139" customWidth="1"/>
    <col min="12328" max="12328" width="6.5703125" style="139" customWidth="1"/>
    <col min="12329" max="12329" width="16.140625" style="139" customWidth="1"/>
    <col min="12330" max="12330" width="11.85546875" style="139" customWidth="1"/>
    <col min="12331" max="12331" width="9.140625" style="139" customWidth="1"/>
    <col min="12332" max="12332" width="7.28515625" style="139" customWidth="1"/>
    <col min="12333" max="12333" width="9.7109375" style="139" customWidth="1"/>
    <col min="12334" max="12334" width="10.140625" style="139" bestFit="1" customWidth="1"/>
    <col min="12335" max="12336" width="8.85546875" style="139" customWidth="1"/>
    <col min="12337" max="12337" width="11.7109375" style="139" bestFit="1" customWidth="1"/>
    <col min="12338" max="12338" width="10.140625" style="139" bestFit="1" customWidth="1"/>
    <col min="12339" max="12339" width="9.140625" style="139" customWidth="1"/>
    <col min="12340" max="12340" width="8.85546875" style="139" customWidth="1"/>
    <col min="12341" max="12341" width="11.7109375" style="139" bestFit="1" customWidth="1"/>
    <col min="12342" max="12342" width="10.140625" style="139" bestFit="1" customWidth="1"/>
    <col min="12343" max="12344" width="8.85546875" style="139" customWidth="1"/>
    <col min="12345" max="12345" width="11.7109375" style="139" bestFit="1" customWidth="1"/>
    <col min="12346" max="12346" width="10.140625" style="139" bestFit="1" customWidth="1"/>
    <col min="12347" max="12348" width="8.85546875" style="139" customWidth="1"/>
    <col min="12349" max="12350" width="11.7109375" style="139" bestFit="1" customWidth="1"/>
    <col min="12351" max="12352" width="8.85546875" style="139" customWidth="1"/>
    <col min="12353" max="12353" width="11.7109375" style="139" bestFit="1" customWidth="1"/>
    <col min="12354" max="12354" width="11.7109375" style="139" customWidth="1"/>
    <col min="12355" max="12355" width="12" style="139" customWidth="1"/>
    <col min="12356" max="12356" width="12.7109375" style="139" customWidth="1"/>
    <col min="12357" max="12357" width="10.140625" style="139" bestFit="1" customWidth="1"/>
    <col min="12358" max="12582" width="8.85546875" style="139"/>
    <col min="12583" max="12583" width="6.140625" style="139" customWidth="1"/>
    <col min="12584" max="12584" width="6.5703125" style="139" customWidth="1"/>
    <col min="12585" max="12585" width="16.140625" style="139" customWidth="1"/>
    <col min="12586" max="12586" width="11.85546875" style="139" customWidth="1"/>
    <col min="12587" max="12587" width="9.140625" style="139" customWidth="1"/>
    <col min="12588" max="12588" width="7.28515625" style="139" customWidth="1"/>
    <col min="12589" max="12589" width="9.7109375" style="139" customWidth="1"/>
    <col min="12590" max="12590" width="10.140625" style="139" bestFit="1" customWidth="1"/>
    <col min="12591" max="12592" width="8.85546875" style="139" customWidth="1"/>
    <col min="12593" max="12593" width="11.7109375" style="139" bestFit="1" customWidth="1"/>
    <col min="12594" max="12594" width="10.140625" style="139" bestFit="1" customWidth="1"/>
    <col min="12595" max="12595" width="9.140625" style="139" customWidth="1"/>
    <col min="12596" max="12596" width="8.85546875" style="139" customWidth="1"/>
    <col min="12597" max="12597" width="11.7109375" style="139" bestFit="1" customWidth="1"/>
    <col min="12598" max="12598" width="10.140625" style="139" bestFit="1" customWidth="1"/>
    <col min="12599" max="12600" width="8.85546875" style="139" customWidth="1"/>
    <col min="12601" max="12601" width="11.7109375" style="139" bestFit="1" customWidth="1"/>
    <col min="12602" max="12602" width="10.140625" style="139" bestFit="1" customWidth="1"/>
    <col min="12603" max="12604" width="8.85546875" style="139" customWidth="1"/>
    <col min="12605" max="12606" width="11.7109375" style="139" bestFit="1" customWidth="1"/>
    <col min="12607" max="12608" width="8.85546875" style="139" customWidth="1"/>
    <col min="12609" max="12609" width="11.7109375" style="139" bestFit="1" customWidth="1"/>
    <col min="12610" max="12610" width="11.7109375" style="139" customWidth="1"/>
    <col min="12611" max="12611" width="12" style="139" customWidth="1"/>
    <col min="12612" max="12612" width="12.7109375" style="139" customWidth="1"/>
    <col min="12613" max="12613" width="10.140625" style="139" bestFit="1" customWidth="1"/>
    <col min="12614" max="12838" width="8.85546875" style="139"/>
    <col min="12839" max="12839" width="6.140625" style="139" customWidth="1"/>
    <col min="12840" max="12840" width="6.5703125" style="139" customWidth="1"/>
    <col min="12841" max="12841" width="16.140625" style="139" customWidth="1"/>
    <col min="12842" max="12842" width="11.85546875" style="139" customWidth="1"/>
    <col min="12843" max="12843" width="9.140625" style="139" customWidth="1"/>
    <col min="12844" max="12844" width="7.28515625" style="139" customWidth="1"/>
    <col min="12845" max="12845" width="9.7109375" style="139" customWidth="1"/>
    <col min="12846" max="12846" width="10.140625" style="139" bestFit="1" customWidth="1"/>
    <col min="12847" max="12848" width="8.85546875" style="139" customWidth="1"/>
    <col min="12849" max="12849" width="11.7109375" style="139" bestFit="1" customWidth="1"/>
    <col min="12850" max="12850" width="10.140625" style="139" bestFit="1" customWidth="1"/>
    <col min="12851" max="12851" width="9.140625" style="139" customWidth="1"/>
    <col min="12852" max="12852" width="8.85546875" style="139" customWidth="1"/>
    <col min="12853" max="12853" width="11.7109375" style="139" bestFit="1" customWidth="1"/>
    <col min="12854" max="12854" width="10.140625" style="139" bestFit="1" customWidth="1"/>
    <col min="12855" max="12856" width="8.85546875" style="139" customWidth="1"/>
    <col min="12857" max="12857" width="11.7109375" style="139" bestFit="1" customWidth="1"/>
    <col min="12858" max="12858" width="10.140625" style="139" bestFit="1" customWidth="1"/>
    <col min="12859" max="12860" width="8.85546875" style="139" customWidth="1"/>
    <col min="12861" max="12862" width="11.7109375" style="139" bestFit="1" customWidth="1"/>
    <col min="12863" max="12864" width="8.85546875" style="139" customWidth="1"/>
    <col min="12865" max="12865" width="11.7109375" style="139" bestFit="1" customWidth="1"/>
    <col min="12866" max="12866" width="11.7109375" style="139" customWidth="1"/>
    <col min="12867" max="12867" width="12" style="139" customWidth="1"/>
    <col min="12868" max="12868" width="12.7109375" style="139" customWidth="1"/>
    <col min="12869" max="12869" width="10.140625" style="139" bestFit="1" customWidth="1"/>
    <col min="12870" max="13094" width="8.85546875" style="139"/>
    <col min="13095" max="13095" width="6.140625" style="139" customWidth="1"/>
    <col min="13096" max="13096" width="6.5703125" style="139" customWidth="1"/>
    <col min="13097" max="13097" width="16.140625" style="139" customWidth="1"/>
    <col min="13098" max="13098" width="11.85546875" style="139" customWidth="1"/>
    <col min="13099" max="13099" width="9.140625" style="139" customWidth="1"/>
    <col min="13100" max="13100" width="7.28515625" style="139" customWidth="1"/>
    <col min="13101" max="13101" width="9.7109375" style="139" customWidth="1"/>
    <col min="13102" max="13102" width="10.140625" style="139" bestFit="1" customWidth="1"/>
    <col min="13103" max="13104" width="8.85546875" style="139" customWidth="1"/>
    <col min="13105" max="13105" width="11.7109375" style="139" bestFit="1" customWidth="1"/>
    <col min="13106" max="13106" width="10.140625" style="139" bestFit="1" customWidth="1"/>
    <col min="13107" max="13107" width="9.140625" style="139" customWidth="1"/>
    <col min="13108" max="13108" width="8.85546875" style="139" customWidth="1"/>
    <col min="13109" max="13109" width="11.7109375" style="139" bestFit="1" customWidth="1"/>
    <col min="13110" max="13110" width="10.140625" style="139" bestFit="1" customWidth="1"/>
    <col min="13111" max="13112" width="8.85546875" style="139" customWidth="1"/>
    <col min="13113" max="13113" width="11.7109375" style="139" bestFit="1" customWidth="1"/>
    <col min="13114" max="13114" width="10.140625" style="139" bestFit="1" customWidth="1"/>
    <col min="13115" max="13116" width="8.85546875" style="139" customWidth="1"/>
    <col min="13117" max="13118" width="11.7109375" style="139" bestFit="1" customWidth="1"/>
    <col min="13119" max="13120" width="8.85546875" style="139" customWidth="1"/>
    <col min="13121" max="13121" width="11.7109375" style="139" bestFit="1" customWidth="1"/>
    <col min="13122" max="13122" width="11.7109375" style="139" customWidth="1"/>
    <col min="13123" max="13123" width="12" style="139" customWidth="1"/>
    <col min="13124" max="13124" width="12.7109375" style="139" customWidth="1"/>
    <col min="13125" max="13125" width="10.140625" style="139" bestFit="1" customWidth="1"/>
    <col min="13126" max="13350" width="8.85546875" style="139"/>
    <col min="13351" max="13351" width="6.140625" style="139" customWidth="1"/>
    <col min="13352" max="13352" width="6.5703125" style="139" customWidth="1"/>
    <col min="13353" max="13353" width="16.140625" style="139" customWidth="1"/>
    <col min="13354" max="13354" width="11.85546875" style="139" customWidth="1"/>
    <col min="13355" max="13355" width="9.140625" style="139" customWidth="1"/>
    <col min="13356" max="13356" width="7.28515625" style="139" customWidth="1"/>
    <col min="13357" max="13357" width="9.7109375" style="139" customWidth="1"/>
    <col min="13358" max="13358" width="10.140625" style="139" bestFit="1" customWidth="1"/>
    <col min="13359" max="13360" width="8.85546875" style="139" customWidth="1"/>
    <col min="13361" max="13361" width="11.7109375" style="139" bestFit="1" customWidth="1"/>
    <col min="13362" max="13362" width="10.140625" style="139" bestFit="1" customWidth="1"/>
    <col min="13363" max="13363" width="9.140625" style="139" customWidth="1"/>
    <col min="13364" max="13364" width="8.85546875" style="139" customWidth="1"/>
    <col min="13365" max="13365" width="11.7109375" style="139" bestFit="1" customWidth="1"/>
    <col min="13366" max="13366" width="10.140625" style="139" bestFit="1" customWidth="1"/>
    <col min="13367" max="13368" width="8.85546875" style="139" customWidth="1"/>
    <col min="13369" max="13369" width="11.7109375" style="139" bestFit="1" customWidth="1"/>
    <col min="13370" max="13370" width="10.140625" style="139" bestFit="1" customWidth="1"/>
    <col min="13371" max="13372" width="8.85546875" style="139" customWidth="1"/>
    <col min="13373" max="13374" width="11.7109375" style="139" bestFit="1" customWidth="1"/>
    <col min="13375" max="13376" width="8.85546875" style="139" customWidth="1"/>
    <col min="13377" max="13377" width="11.7109375" style="139" bestFit="1" customWidth="1"/>
    <col min="13378" max="13378" width="11.7109375" style="139" customWidth="1"/>
    <col min="13379" max="13379" width="12" style="139" customWidth="1"/>
    <col min="13380" max="13380" width="12.7109375" style="139" customWidth="1"/>
    <col min="13381" max="13381" width="10.140625" style="139" bestFit="1" customWidth="1"/>
    <col min="13382" max="13606" width="8.85546875" style="139"/>
    <col min="13607" max="13607" width="6.140625" style="139" customWidth="1"/>
    <col min="13608" max="13608" width="6.5703125" style="139" customWidth="1"/>
    <col min="13609" max="13609" width="16.140625" style="139" customWidth="1"/>
    <col min="13610" max="13610" width="11.85546875" style="139" customWidth="1"/>
    <col min="13611" max="13611" width="9.140625" style="139" customWidth="1"/>
    <col min="13612" max="13612" width="7.28515625" style="139" customWidth="1"/>
    <col min="13613" max="13613" width="9.7109375" style="139" customWidth="1"/>
    <col min="13614" max="13614" width="10.140625" style="139" bestFit="1" customWidth="1"/>
    <col min="13615" max="13616" width="8.85546875" style="139" customWidth="1"/>
    <col min="13617" max="13617" width="11.7109375" style="139" bestFit="1" customWidth="1"/>
    <col min="13618" max="13618" width="10.140625" style="139" bestFit="1" customWidth="1"/>
    <col min="13619" max="13619" width="9.140625" style="139" customWidth="1"/>
    <col min="13620" max="13620" width="8.85546875" style="139" customWidth="1"/>
    <col min="13621" max="13621" width="11.7109375" style="139" bestFit="1" customWidth="1"/>
    <col min="13622" max="13622" width="10.140625" style="139" bestFit="1" customWidth="1"/>
    <col min="13623" max="13624" width="8.85546875" style="139" customWidth="1"/>
    <col min="13625" max="13625" width="11.7109375" style="139" bestFit="1" customWidth="1"/>
    <col min="13626" max="13626" width="10.140625" style="139" bestFit="1" customWidth="1"/>
    <col min="13627" max="13628" width="8.85546875" style="139" customWidth="1"/>
    <col min="13629" max="13630" width="11.7109375" style="139" bestFit="1" customWidth="1"/>
    <col min="13631" max="13632" width="8.85546875" style="139" customWidth="1"/>
    <col min="13633" max="13633" width="11.7109375" style="139" bestFit="1" customWidth="1"/>
    <col min="13634" max="13634" width="11.7109375" style="139" customWidth="1"/>
    <col min="13635" max="13635" width="12" style="139" customWidth="1"/>
    <col min="13636" max="13636" width="12.7109375" style="139" customWidth="1"/>
    <col min="13637" max="13637" width="10.140625" style="139" bestFit="1" customWidth="1"/>
    <col min="13638" max="13862" width="8.85546875" style="139"/>
    <col min="13863" max="13863" width="6.140625" style="139" customWidth="1"/>
    <col min="13864" max="13864" width="6.5703125" style="139" customWidth="1"/>
    <col min="13865" max="13865" width="16.140625" style="139" customWidth="1"/>
    <col min="13866" max="13866" width="11.85546875" style="139" customWidth="1"/>
    <col min="13867" max="13867" width="9.140625" style="139" customWidth="1"/>
    <col min="13868" max="13868" width="7.28515625" style="139" customWidth="1"/>
    <col min="13869" max="13869" width="9.7109375" style="139" customWidth="1"/>
    <col min="13870" max="13870" width="10.140625" style="139" bestFit="1" customWidth="1"/>
    <col min="13871" max="13872" width="8.85546875" style="139" customWidth="1"/>
    <col min="13873" max="13873" width="11.7109375" style="139" bestFit="1" customWidth="1"/>
    <col min="13874" max="13874" width="10.140625" style="139" bestFit="1" customWidth="1"/>
    <col min="13875" max="13875" width="9.140625" style="139" customWidth="1"/>
    <col min="13876" max="13876" width="8.85546875" style="139" customWidth="1"/>
    <col min="13877" max="13877" width="11.7109375" style="139" bestFit="1" customWidth="1"/>
    <col min="13878" max="13878" width="10.140625" style="139" bestFit="1" customWidth="1"/>
    <col min="13879" max="13880" width="8.85546875" style="139" customWidth="1"/>
    <col min="13881" max="13881" width="11.7109375" style="139" bestFit="1" customWidth="1"/>
    <col min="13882" max="13882" width="10.140625" style="139" bestFit="1" customWidth="1"/>
    <col min="13883" max="13884" width="8.85546875" style="139" customWidth="1"/>
    <col min="13885" max="13886" width="11.7109375" style="139" bestFit="1" customWidth="1"/>
    <col min="13887" max="13888" width="8.85546875" style="139" customWidth="1"/>
    <col min="13889" max="13889" width="11.7109375" style="139" bestFit="1" customWidth="1"/>
    <col min="13890" max="13890" width="11.7109375" style="139" customWidth="1"/>
    <col min="13891" max="13891" width="12" style="139" customWidth="1"/>
    <col min="13892" max="13892" width="12.7109375" style="139" customWidth="1"/>
    <col min="13893" max="13893" width="10.140625" style="139" bestFit="1" customWidth="1"/>
    <col min="13894" max="14118" width="8.85546875" style="139"/>
    <col min="14119" max="14119" width="6.140625" style="139" customWidth="1"/>
    <col min="14120" max="14120" width="6.5703125" style="139" customWidth="1"/>
    <col min="14121" max="14121" width="16.140625" style="139" customWidth="1"/>
    <col min="14122" max="14122" width="11.85546875" style="139" customWidth="1"/>
    <col min="14123" max="14123" width="9.140625" style="139" customWidth="1"/>
    <col min="14124" max="14124" width="7.28515625" style="139" customWidth="1"/>
    <col min="14125" max="14125" width="9.7109375" style="139" customWidth="1"/>
    <col min="14126" max="14126" width="10.140625" style="139" bestFit="1" customWidth="1"/>
    <col min="14127" max="14128" width="8.85546875" style="139" customWidth="1"/>
    <col min="14129" max="14129" width="11.7109375" style="139" bestFit="1" customWidth="1"/>
    <col min="14130" max="14130" width="10.140625" style="139" bestFit="1" customWidth="1"/>
    <col min="14131" max="14131" width="9.140625" style="139" customWidth="1"/>
    <col min="14132" max="14132" width="8.85546875" style="139" customWidth="1"/>
    <col min="14133" max="14133" width="11.7109375" style="139" bestFit="1" customWidth="1"/>
    <col min="14134" max="14134" width="10.140625" style="139" bestFit="1" customWidth="1"/>
    <col min="14135" max="14136" width="8.85546875" style="139" customWidth="1"/>
    <col min="14137" max="14137" width="11.7109375" style="139" bestFit="1" customWidth="1"/>
    <col min="14138" max="14138" width="10.140625" style="139" bestFit="1" customWidth="1"/>
    <col min="14139" max="14140" width="8.85546875" style="139" customWidth="1"/>
    <col min="14141" max="14142" width="11.7109375" style="139" bestFit="1" customWidth="1"/>
    <col min="14143" max="14144" width="8.85546875" style="139" customWidth="1"/>
    <col min="14145" max="14145" width="11.7109375" style="139" bestFit="1" customWidth="1"/>
    <col min="14146" max="14146" width="11.7109375" style="139" customWidth="1"/>
    <col min="14147" max="14147" width="12" style="139" customWidth="1"/>
    <col min="14148" max="14148" width="12.7109375" style="139" customWidth="1"/>
    <col min="14149" max="14149" width="10.140625" style="139" bestFit="1" customWidth="1"/>
    <col min="14150" max="14374" width="8.85546875" style="139"/>
    <col min="14375" max="14375" width="6.140625" style="139" customWidth="1"/>
    <col min="14376" max="14376" width="6.5703125" style="139" customWidth="1"/>
    <col min="14377" max="14377" width="16.140625" style="139" customWidth="1"/>
    <col min="14378" max="14378" width="11.85546875" style="139" customWidth="1"/>
    <col min="14379" max="14379" width="9.140625" style="139" customWidth="1"/>
    <col min="14380" max="14380" width="7.28515625" style="139" customWidth="1"/>
    <col min="14381" max="14381" width="9.7109375" style="139" customWidth="1"/>
    <col min="14382" max="14382" width="10.140625" style="139" bestFit="1" customWidth="1"/>
    <col min="14383" max="14384" width="8.85546875" style="139" customWidth="1"/>
    <col min="14385" max="14385" width="11.7109375" style="139" bestFit="1" customWidth="1"/>
    <col min="14386" max="14386" width="10.140625" style="139" bestFit="1" customWidth="1"/>
    <col min="14387" max="14387" width="9.140625" style="139" customWidth="1"/>
    <col min="14388" max="14388" width="8.85546875" style="139" customWidth="1"/>
    <col min="14389" max="14389" width="11.7109375" style="139" bestFit="1" customWidth="1"/>
    <col min="14390" max="14390" width="10.140625" style="139" bestFit="1" customWidth="1"/>
    <col min="14391" max="14392" width="8.85546875" style="139" customWidth="1"/>
    <col min="14393" max="14393" width="11.7109375" style="139" bestFit="1" customWidth="1"/>
    <col min="14394" max="14394" width="10.140625" style="139" bestFit="1" customWidth="1"/>
    <col min="14395" max="14396" width="8.85546875" style="139" customWidth="1"/>
    <col min="14397" max="14398" width="11.7109375" style="139" bestFit="1" customWidth="1"/>
    <col min="14399" max="14400" width="8.85546875" style="139" customWidth="1"/>
    <col min="14401" max="14401" width="11.7109375" style="139" bestFit="1" customWidth="1"/>
    <col min="14402" max="14402" width="11.7109375" style="139" customWidth="1"/>
    <col min="14403" max="14403" width="12" style="139" customWidth="1"/>
    <col min="14404" max="14404" width="12.7109375" style="139" customWidth="1"/>
    <col min="14405" max="14405" width="10.140625" style="139" bestFit="1" customWidth="1"/>
    <col min="14406" max="14630" width="8.85546875" style="139"/>
    <col min="14631" max="14631" width="6.140625" style="139" customWidth="1"/>
    <col min="14632" max="14632" width="6.5703125" style="139" customWidth="1"/>
    <col min="14633" max="14633" width="16.140625" style="139" customWidth="1"/>
    <col min="14634" max="14634" width="11.85546875" style="139" customWidth="1"/>
    <col min="14635" max="14635" width="9.140625" style="139" customWidth="1"/>
    <col min="14636" max="14636" width="7.28515625" style="139" customWidth="1"/>
    <col min="14637" max="14637" width="9.7109375" style="139" customWidth="1"/>
    <col min="14638" max="14638" width="10.140625" style="139" bestFit="1" customWidth="1"/>
    <col min="14639" max="14640" width="8.85546875" style="139" customWidth="1"/>
    <col min="14641" max="14641" width="11.7109375" style="139" bestFit="1" customWidth="1"/>
    <col min="14642" max="14642" width="10.140625" style="139" bestFit="1" customWidth="1"/>
    <col min="14643" max="14643" width="9.140625" style="139" customWidth="1"/>
    <col min="14644" max="14644" width="8.85546875" style="139" customWidth="1"/>
    <col min="14645" max="14645" width="11.7109375" style="139" bestFit="1" customWidth="1"/>
    <col min="14646" max="14646" width="10.140625" style="139" bestFit="1" customWidth="1"/>
    <col min="14647" max="14648" width="8.85546875" style="139" customWidth="1"/>
    <col min="14649" max="14649" width="11.7109375" style="139" bestFit="1" customWidth="1"/>
    <col min="14650" max="14650" width="10.140625" style="139" bestFit="1" customWidth="1"/>
    <col min="14651" max="14652" width="8.85546875" style="139" customWidth="1"/>
    <col min="14653" max="14654" width="11.7109375" style="139" bestFit="1" customWidth="1"/>
    <col min="14655" max="14656" width="8.85546875" style="139" customWidth="1"/>
    <col min="14657" max="14657" width="11.7109375" style="139" bestFit="1" customWidth="1"/>
    <col min="14658" max="14658" width="11.7109375" style="139" customWidth="1"/>
    <col min="14659" max="14659" width="12" style="139" customWidth="1"/>
    <col min="14660" max="14660" width="12.7109375" style="139" customWidth="1"/>
    <col min="14661" max="14661" width="10.140625" style="139" bestFit="1" customWidth="1"/>
    <col min="14662" max="14886" width="8.85546875" style="139"/>
    <col min="14887" max="14887" width="6.140625" style="139" customWidth="1"/>
    <col min="14888" max="14888" width="6.5703125" style="139" customWidth="1"/>
    <col min="14889" max="14889" width="16.140625" style="139" customWidth="1"/>
    <col min="14890" max="14890" width="11.85546875" style="139" customWidth="1"/>
    <col min="14891" max="14891" width="9.140625" style="139" customWidth="1"/>
    <col min="14892" max="14892" width="7.28515625" style="139" customWidth="1"/>
    <col min="14893" max="14893" width="9.7109375" style="139" customWidth="1"/>
    <col min="14894" max="14894" width="10.140625" style="139" bestFit="1" customWidth="1"/>
    <col min="14895" max="14896" width="8.85546875" style="139" customWidth="1"/>
    <col min="14897" max="14897" width="11.7109375" style="139" bestFit="1" customWidth="1"/>
    <col min="14898" max="14898" width="10.140625" style="139" bestFit="1" customWidth="1"/>
    <col min="14899" max="14899" width="9.140625" style="139" customWidth="1"/>
    <col min="14900" max="14900" width="8.85546875" style="139" customWidth="1"/>
    <col min="14901" max="14901" width="11.7109375" style="139" bestFit="1" customWidth="1"/>
    <col min="14902" max="14902" width="10.140625" style="139" bestFit="1" customWidth="1"/>
    <col min="14903" max="14904" width="8.85546875" style="139" customWidth="1"/>
    <col min="14905" max="14905" width="11.7109375" style="139" bestFit="1" customWidth="1"/>
    <col min="14906" max="14906" width="10.140625" style="139" bestFit="1" customWidth="1"/>
    <col min="14907" max="14908" width="8.85546875" style="139" customWidth="1"/>
    <col min="14909" max="14910" width="11.7109375" style="139" bestFit="1" customWidth="1"/>
    <col min="14911" max="14912" width="8.85546875" style="139" customWidth="1"/>
    <col min="14913" max="14913" width="11.7109375" style="139" bestFit="1" customWidth="1"/>
    <col min="14914" max="14914" width="11.7109375" style="139" customWidth="1"/>
    <col min="14915" max="14915" width="12" style="139" customWidth="1"/>
    <col min="14916" max="14916" width="12.7109375" style="139" customWidth="1"/>
    <col min="14917" max="14917" width="10.140625" style="139" bestFit="1" customWidth="1"/>
    <col min="14918" max="15142" width="8.85546875" style="139"/>
    <col min="15143" max="15143" width="6.140625" style="139" customWidth="1"/>
    <col min="15144" max="15144" width="6.5703125" style="139" customWidth="1"/>
    <col min="15145" max="15145" width="16.140625" style="139" customWidth="1"/>
    <col min="15146" max="15146" width="11.85546875" style="139" customWidth="1"/>
    <col min="15147" max="15147" width="9.140625" style="139" customWidth="1"/>
    <col min="15148" max="15148" width="7.28515625" style="139" customWidth="1"/>
    <col min="15149" max="15149" width="9.7109375" style="139" customWidth="1"/>
    <col min="15150" max="15150" width="10.140625" style="139" bestFit="1" customWidth="1"/>
    <col min="15151" max="15152" width="8.85546875" style="139" customWidth="1"/>
    <col min="15153" max="15153" width="11.7109375" style="139" bestFit="1" customWidth="1"/>
    <col min="15154" max="15154" width="10.140625" style="139" bestFit="1" customWidth="1"/>
    <col min="15155" max="15155" width="9.140625" style="139" customWidth="1"/>
    <col min="15156" max="15156" width="8.85546875" style="139" customWidth="1"/>
    <col min="15157" max="15157" width="11.7109375" style="139" bestFit="1" customWidth="1"/>
    <col min="15158" max="15158" width="10.140625" style="139" bestFit="1" customWidth="1"/>
    <col min="15159" max="15160" width="8.85546875" style="139" customWidth="1"/>
    <col min="15161" max="15161" width="11.7109375" style="139" bestFit="1" customWidth="1"/>
    <col min="15162" max="15162" width="10.140625" style="139" bestFit="1" customWidth="1"/>
    <col min="15163" max="15164" width="8.85546875" style="139" customWidth="1"/>
    <col min="15165" max="15166" width="11.7109375" style="139" bestFit="1" customWidth="1"/>
    <col min="15167" max="15168" width="8.85546875" style="139" customWidth="1"/>
    <col min="15169" max="15169" width="11.7109375" style="139" bestFit="1" customWidth="1"/>
    <col min="15170" max="15170" width="11.7109375" style="139" customWidth="1"/>
    <col min="15171" max="15171" width="12" style="139" customWidth="1"/>
    <col min="15172" max="15172" width="12.7109375" style="139" customWidth="1"/>
    <col min="15173" max="15173" width="10.140625" style="139" bestFit="1" customWidth="1"/>
    <col min="15174" max="15398" width="8.85546875" style="139"/>
    <col min="15399" max="15399" width="6.140625" style="139" customWidth="1"/>
    <col min="15400" max="15400" width="6.5703125" style="139" customWidth="1"/>
    <col min="15401" max="15401" width="16.140625" style="139" customWidth="1"/>
    <col min="15402" max="15402" width="11.85546875" style="139" customWidth="1"/>
    <col min="15403" max="15403" width="9.140625" style="139" customWidth="1"/>
    <col min="15404" max="15404" width="7.28515625" style="139" customWidth="1"/>
    <col min="15405" max="15405" width="9.7109375" style="139" customWidth="1"/>
    <col min="15406" max="15406" width="10.140625" style="139" bestFit="1" customWidth="1"/>
    <col min="15407" max="15408" width="8.85546875" style="139" customWidth="1"/>
    <col min="15409" max="15409" width="11.7109375" style="139" bestFit="1" customWidth="1"/>
    <col min="15410" max="15410" width="10.140625" style="139" bestFit="1" customWidth="1"/>
    <col min="15411" max="15411" width="9.140625" style="139" customWidth="1"/>
    <col min="15412" max="15412" width="8.85546875" style="139" customWidth="1"/>
    <col min="15413" max="15413" width="11.7109375" style="139" bestFit="1" customWidth="1"/>
    <col min="15414" max="15414" width="10.140625" style="139" bestFit="1" customWidth="1"/>
    <col min="15415" max="15416" width="8.85546875" style="139" customWidth="1"/>
    <col min="15417" max="15417" width="11.7109375" style="139" bestFit="1" customWidth="1"/>
    <col min="15418" max="15418" width="10.140625" style="139" bestFit="1" customWidth="1"/>
    <col min="15419" max="15420" width="8.85546875" style="139" customWidth="1"/>
    <col min="15421" max="15422" width="11.7109375" style="139" bestFit="1" customWidth="1"/>
    <col min="15423" max="15424" width="8.85546875" style="139" customWidth="1"/>
    <col min="15425" max="15425" width="11.7109375" style="139" bestFit="1" customWidth="1"/>
    <col min="15426" max="15426" width="11.7109375" style="139" customWidth="1"/>
    <col min="15427" max="15427" width="12" style="139" customWidth="1"/>
    <col min="15428" max="15428" width="12.7109375" style="139" customWidth="1"/>
    <col min="15429" max="15429" width="10.140625" style="139" bestFit="1" customWidth="1"/>
    <col min="15430" max="15654" width="8.85546875" style="139"/>
    <col min="15655" max="15655" width="6.140625" style="139" customWidth="1"/>
    <col min="15656" max="15656" width="6.5703125" style="139" customWidth="1"/>
    <col min="15657" max="15657" width="16.140625" style="139" customWidth="1"/>
    <col min="15658" max="15658" width="11.85546875" style="139" customWidth="1"/>
    <col min="15659" max="15659" width="9.140625" style="139" customWidth="1"/>
    <col min="15660" max="15660" width="7.28515625" style="139" customWidth="1"/>
    <col min="15661" max="15661" width="9.7109375" style="139" customWidth="1"/>
    <col min="15662" max="15662" width="10.140625" style="139" bestFit="1" customWidth="1"/>
    <col min="15663" max="15664" width="8.85546875" style="139" customWidth="1"/>
    <col min="15665" max="15665" width="11.7109375" style="139" bestFit="1" customWidth="1"/>
    <col min="15666" max="15666" width="10.140625" style="139" bestFit="1" customWidth="1"/>
    <col min="15667" max="15667" width="9.140625" style="139" customWidth="1"/>
    <col min="15668" max="15668" width="8.85546875" style="139" customWidth="1"/>
    <col min="15669" max="15669" width="11.7109375" style="139" bestFit="1" customWidth="1"/>
    <col min="15670" max="15670" width="10.140625" style="139" bestFit="1" customWidth="1"/>
    <col min="15671" max="15672" width="8.85546875" style="139" customWidth="1"/>
    <col min="15673" max="15673" width="11.7109375" style="139" bestFit="1" customWidth="1"/>
    <col min="15674" max="15674" width="10.140625" style="139" bestFit="1" customWidth="1"/>
    <col min="15675" max="15676" width="8.85546875" style="139" customWidth="1"/>
    <col min="15677" max="15678" width="11.7109375" style="139" bestFit="1" customWidth="1"/>
    <col min="15679" max="15680" width="8.85546875" style="139" customWidth="1"/>
    <col min="15681" max="15681" width="11.7109375" style="139" bestFit="1" customWidth="1"/>
    <col min="15682" max="15682" width="11.7109375" style="139" customWidth="1"/>
    <col min="15683" max="15683" width="12" style="139" customWidth="1"/>
    <col min="15684" max="15684" width="12.7109375" style="139" customWidth="1"/>
    <col min="15685" max="15685" width="10.140625" style="139" bestFit="1" customWidth="1"/>
    <col min="15686" max="15910" width="8.85546875" style="139"/>
    <col min="15911" max="15911" width="6.140625" style="139" customWidth="1"/>
    <col min="15912" max="15912" width="6.5703125" style="139" customWidth="1"/>
    <col min="15913" max="15913" width="16.140625" style="139" customWidth="1"/>
    <col min="15914" max="15914" width="11.85546875" style="139" customWidth="1"/>
    <col min="15915" max="15915" width="9.140625" style="139" customWidth="1"/>
    <col min="15916" max="15916" width="7.28515625" style="139" customWidth="1"/>
    <col min="15917" max="15917" width="9.7109375" style="139" customWidth="1"/>
    <col min="15918" max="15918" width="10.140625" style="139" bestFit="1" customWidth="1"/>
    <col min="15919" max="15920" width="8.85546875" style="139" customWidth="1"/>
    <col min="15921" max="15921" width="11.7109375" style="139" bestFit="1" customWidth="1"/>
    <col min="15922" max="15922" width="10.140625" style="139" bestFit="1" customWidth="1"/>
    <col min="15923" max="15923" width="9.140625" style="139" customWidth="1"/>
    <col min="15924" max="15924" width="8.85546875" style="139" customWidth="1"/>
    <col min="15925" max="15925" width="11.7109375" style="139" bestFit="1" customWidth="1"/>
    <col min="15926" max="15926" width="10.140625" style="139" bestFit="1" customWidth="1"/>
    <col min="15927" max="15928" width="8.85546875" style="139" customWidth="1"/>
    <col min="15929" max="15929" width="11.7109375" style="139" bestFit="1" customWidth="1"/>
    <col min="15930" max="15930" width="10.140625" style="139" bestFit="1" customWidth="1"/>
    <col min="15931" max="15932" width="8.85546875" style="139" customWidth="1"/>
    <col min="15933" max="15934" width="11.7109375" style="139" bestFit="1" customWidth="1"/>
    <col min="15935" max="15936" width="8.85546875" style="139" customWidth="1"/>
    <col min="15937" max="15937" width="11.7109375" style="139" bestFit="1" customWidth="1"/>
    <col min="15938" max="15938" width="11.7109375" style="139" customWidth="1"/>
    <col min="15939" max="15939" width="12" style="139" customWidth="1"/>
    <col min="15940" max="15940" width="12.7109375" style="139" customWidth="1"/>
    <col min="15941" max="15941" width="10.140625" style="139" bestFit="1" customWidth="1"/>
    <col min="15942" max="16166" width="8.85546875" style="139"/>
    <col min="16167" max="16167" width="6.140625" style="139" customWidth="1"/>
    <col min="16168" max="16168" width="6.5703125" style="139" customWidth="1"/>
    <col min="16169" max="16169" width="16.140625" style="139" customWidth="1"/>
    <col min="16170" max="16170" width="11.85546875" style="139" customWidth="1"/>
    <col min="16171" max="16171" width="9.140625" style="139" customWidth="1"/>
    <col min="16172" max="16172" width="7.28515625" style="139" customWidth="1"/>
    <col min="16173" max="16173" width="9.7109375" style="139" customWidth="1"/>
    <col min="16174" max="16174" width="10.140625" style="139" bestFit="1" customWidth="1"/>
    <col min="16175" max="16176" width="8.85546875" style="139" customWidth="1"/>
    <col min="16177" max="16177" width="11.7109375" style="139" bestFit="1" customWidth="1"/>
    <col min="16178" max="16178" width="10.140625" style="139" bestFit="1" customWidth="1"/>
    <col min="16179" max="16179" width="9.140625" style="139" customWidth="1"/>
    <col min="16180" max="16180" width="8.85546875" style="139" customWidth="1"/>
    <col min="16181" max="16181" width="11.7109375" style="139" bestFit="1" customWidth="1"/>
    <col min="16182" max="16182" width="10.140625" style="139" bestFit="1" customWidth="1"/>
    <col min="16183" max="16184" width="8.85546875" style="139" customWidth="1"/>
    <col min="16185" max="16185" width="11.7109375" style="139" bestFit="1" customWidth="1"/>
    <col min="16186" max="16186" width="10.140625" style="139" bestFit="1" customWidth="1"/>
    <col min="16187" max="16188" width="8.85546875" style="139" customWidth="1"/>
    <col min="16189" max="16190" width="11.7109375" style="139" bestFit="1" customWidth="1"/>
    <col min="16191" max="16192" width="8.85546875" style="139" customWidth="1"/>
    <col min="16193" max="16193" width="11.7109375" style="139" bestFit="1" customWidth="1"/>
    <col min="16194" max="16194" width="11.7109375" style="139" customWidth="1"/>
    <col min="16195" max="16195" width="12" style="139" customWidth="1"/>
    <col min="16196" max="16196" width="12.7109375" style="139" customWidth="1"/>
    <col min="16197" max="16197" width="10.140625" style="139" bestFit="1" customWidth="1"/>
    <col min="16198" max="16384" width="8.85546875" style="139"/>
  </cols>
  <sheetData>
    <row r="2" spans="1:73" ht="18" x14ac:dyDescent="0.2">
      <c r="A2" s="149"/>
      <c r="B2" s="151"/>
      <c r="C2" s="152"/>
      <c r="D2" s="149"/>
      <c r="E2" s="149"/>
      <c r="F2" s="149"/>
      <c r="G2" s="149"/>
      <c r="BG2" s="153">
        <v>512000</v>
      </c>
      <c r="BN2" s="420"/>
    </row>
    <row r="3" spans="1:73" x14ac:dyDescent="0.2">
      <c r="D3" s="154">
        <v>40909</v>
      </c>
      <c r="E3" s="155"/>
      <c r="F3" s="156"/>
      <c r="G3" s="157"/>
      <c r="H3" s="158"/>
      <c r="I3" s="159">
        <v>40940</v>
      </c>
      <c r="J3" s="159"/>
      <c r="K3" s="160"/>
      <c r="L3" s="161"/>
      <c r="M3" s="162">
        <v>40969</v>
      </c>
      <c r="N3" s="162"/>
      <c r="O3" s="163"/>
      <c r="P3" s="164"/>
      <c r="Q3" s="165">
        <v>41000</v>
      </c>
      <c r="R3" s="165"/>
      <c r="S3" s="166"/>
      <c r="T3" s="167"/>
      <c r="U3" s="168">
        <v>41030</v>
      </c>
      <c r="V3" s="169"/>
      <c r="W3" s="170"/>
      <c r="X3" s="171"/>
      <c r="Y3" s="172">
        <v>41061</v>
      </c>
      <c r="Z3" s="173"/>
      <c r="AA3" s="174"/>
      <c r="AB3" s="421"/>
      <c r="AC3" s="422">
        <v>41091</v>
      </c>
      <c r="AD3" s="423"/>
      <c r="AE3" s="424"/>
      <c r="AF3" s="498"/>
      <c r="AG3" s="499">
        <v>41122</v>
      </c>
      <c r="AH3" s="500"/>
      <c r="AI3" s="501"/>
      <c r="AJ3" s="560"/>
      <c r="AK3" s="561">
        <v>41153</v>
      </c>
      <c r="AL3" s="562"/>
      <c r="AM3" s="563"/>
      <c r="AN3" s="552"/>
      <c r="AO3" s="553">
        <v>41183</v>
      </c>
      <c r="AP3" s="554"/>
      <c r="AQ3" s="555"/>
      <c r="AR3" s="498"/>
      <c r="AS3" s="499">
        <v>41214</v>
      </c>
      <c r="AT3" s="500"/>
      <c r="AU3" s="501"/>
      <c r="AV3" s="564"/>
      <c r="AW3" s="565">
        <v>41244</v>
      </c>
      <c r="AX3" s="566"/>
      <c r="AY3" s="567"/>
      <c r="AZ3" s="684"/>
      <c r="BA3" s="685"/>
      <c r="BB3" s="685"/>
      <c r="BC3" s="685"/>
      <c r="BD3" s="175"/>
      <c r="BE3" s="175"/>
      <c r="BF3" s="175"/>
      <c r="BG3" s="1155" t="s">
        <v>201</v>
      </c>
      <c r="BH3" s="1155" t="s">
        <v>202</v>
      </c>
      <c r="BI3" s="1155" t="s">
        <v>216</v>
      </c>
      <c r="BJ3" s="1155" t="s">
        <v>275</v>
      </c>
      <c r="BK3" s="1155" t="s">
        <v>276</v>
      </c>
      <c r="BL3" s="1155" t="s">
        <v>277</v>
      </c>
      <c r="BM3" s="1155" t="s">
        <v>278</v>
      </c>
      <c r="BN3" s="678"/>
      <c r="BO3" s="1155" t="s">
        <v>203</v>
      </c>
      <c r="BP3" s="1155" t="s">
        <v>204</v>
      </c>
      <c r="BQ3" s="1155" t="s">
        <v>217</v>
      </c>
      <c r="BR3" s="1155" t="s">
        <v>281</v>
      </c>
      <c r="BS3" s="1155" t="s">
        <v>282</v>
      </c>
      <c r="BT3" s="1155" t="s">
        <v>283</v>
      </c>
      <c r="BU3" s="1155" t="s">
        <v>284</v>
      </c>
    </row>
    <row r="4" spans="1:73" ht="25.5" x14ac:dyDescent="0.2">
      <c r="A4" s="176" t="s">
        <v>112</v>
      </c>
      <c r="B4" s="176" t="s">
        <v>113</v>
      </c>
      <c r="C4" s="177" t="s">
        <v>114</v>
      </c>
      <c r="D4" s="178" t="s">
        <v>115</v>
      </c>
      <c r="E4" s="179" t="s">
        <v>116</v>
      </c>
      <c r="F4" s="178" t="s">
        <v>117</v>
      </c>
      <c r="G4" s="180" t="s">
        <v>118</v>
      </c>
      <c r="H4" s="181" t="s">
        <v>115</v>
      </c>
      <c r="I4" s="182" t="s">
        <v>119</v>
      </c>
      <c r="J4" s="183" t="s">
        <v>117</v>
      </c>
      <c r="K4" s="184" t="s">
        <v>118</v>
      </c>
      <c r="L4" s="185" t="s">
        <v>115</v>
      </c>
      <c r="M4" s="186" t="s">
        <v>120</v>
      </c>
      <c r="N4" s="187" t="s">
        <v>117</v>
      </c>
      <c r="O4" s="188" t="s">
        <v>118</v>
      </c>
      <c r="P4" s="189" t="s">
        <v>115</v>
      </c>
      <c r="Q4" s="190" t="s">
        <v>121</v>
      </c>
      <c r="R4" s="191" t="s">
        <v>117</v>
      </c>
      <c r="S4" s="192" t="s">
        <v>118</v>
      </c>
      <c r="T4" s="193" t="s">
        <v>115</v>
      </c>
      <c r="U4" s="194" t="s">
        <v>121</v>
      </c>
      <c r="V4" s="195" t="s">
        <v>117</v>
      </c>
      <c r="W4" s="196" t="s">
        <v>118</v>
      </c>
      <c r="X4" s="197" t="s">
        <v>115</v>
      </c>
      <c r="Y4" s="198" t="s">
        <v>121</v>
      </c>
      <c r="Z4" s="199" t="s">
        <v>117</v>
      </c>
      <c r="AA4" s="200" t="s">
        <v>118</v>
      </c>
      <c r="AB4" s="425" t="s">
        <v>115</v>
      </c>
      <c r="AC4" s="426" t="s">
        <v>121</v>
      </c>
      <c r="AD4" s="427" t="s">
        <v>117</v>
      </c>
      <c r="AE4" s="428" t="s">
        <v>118</v>
      </c>
      <c r="AF4" s="502" t="s">
        <v>115</v>
      </c>
      <c r="AG4" s="503" t="s">
        <v>121</v>
      </c>
      <c r="AH4" s="504" t="s">
        <v>117</v>
      </c>
      <c r="AI4" s="505" t="s">
        <v>118</v>
      </c>
      <c r="AJ4" s="568" t="s">
        <v>115</v>
      </c>
      <c r="AK4" s="569" t="s">
        <v>121</v>
      </c>
      <c r="AL4" s="570" t="s">
        <v>117</v>
      </c>
      <c r="AM4" s="571" t="s">
        <v>118</v>
      </c>
      <c r="AN4" s="556" t="s">
        <v>115</v>
      </c>
      <c r="AO4" s="557" t="s">
        <v>121</v>
      </c>
      <c r="AP4" s="558" t="s">
        <v>117</v>
      </c>
      <c r="AQ4" s="559" t="s">
        <v>118</v>
      </c>
      <c r="AR4" s="502" t="s">
        <v>115</v>
      </c>
      <c r="AS4" s="503" t="s">
        <v>121</v>
      </c>
      <c r="AT4" s="504" t="s">
        <v>117</v>
      </c>
      <c r="AU4" s="505" t="s">
        <v>118</v>
      </c>
      <c r="AV4" s="572" t="s">
        <v>115</v>
      </c>
      <c r="AW4" s="573" t="s">
        <v>121</v>
      </c>
      <c r="AX4" s="574" t="s">
        <v>117</v>
      </c>
      <c r="AY4" s="575" t="s">
        <v>118</v>
      </c>
      <c r="AZ4" s="686">
        <v>2E-3</v>
      </c>
      <c r="BA4" s="687"/>
      <c r="BB4" s="687"/>
      <c r="BC4" s="688" t="s">
        <v>301</v>
      </c>
      <c r="BD4" s="689" t="s">
        <v>302</v>
      </c>
      <c r="BE4" s="689" t="s">
        <v>303</v>
      </c>
      <c r="BF4" s="689" t="s">
        <v>304</v>
      </c>
      <c r="BG4" s="1155"/>
      <c r="BH4" s="1155"/>
      <c r="BI4" s="1155"/>
      <c r="BJ4" s="1155"/>
      <c r="BK4" s="1155"/>
      <c r="BL4" s="1155"/>
      <c r="BM4" s="1155"/>
      <c r="BN4" s="678"/>
      <c r="BO4" s="1155"/>
      <c r="BP4" s="1155"/>
      <c r="BQ4" s="1155"/>
      <c r="BR4" s="1155"/>
      <c r="BS4" s="1155"/>
      <c r="BT4" s="1155"/>
      <c r="BU4" s="1155"/>
    </row>
    <row r="5" spans="1:73" s="215" customFormat="1" x14ac:dyDescent="0.2">
      <c r="A5" s="201">
        <v>1</v>
      </c>
      <c r="B5" s="202">
        <v>99</v>
      </c>
      <c r="C5" s="203" t="s">
        <v>122</v>
      </c>
      <c r="D5" s="204">
        <v>25000</v>
      </c>
      <c r="E5" s="205"/>
      <c r="F5" s="206">
        <v>1</v>
      </c>
      <c r="G5" s="207">
        <f>D5*30%</f>
        <v>7500</v>
      </c>
      <c r="H5" s="208">
        <v>30000</v>
      </c>
      <c r="I5" s="209"/>
      <c r="J5" s="210">
        <v>1</v>
      </c>
      <c r="K5" s="211">
        <f>H5*30%</f>
        <v>9000</v>
      </c>
      <c r="L5" s="208">
        <f>1428.57+24272.08</f>
        <v>25700.65</v>
      </c>
      <c r="M5" s="212">
        <v>24272.080000000002</v>
      </c>
      <c r="N5" s="210">
        <v>1</v>
      </c>
      <c r="O5" s="211">
        <f>L5*30%</f>
        <v>7710.2</v>
      </c>
      <c r="P5" s="208">
        <v>30000</v>
      </c>
      <c r="Q5" s="209"/>
      <c r="R5" s="210">
        <v>1</v>
      </c>
      <c r="S5" s="211">
        <f>P5*30%</f>
        <v>9000</v>
      </c>
      <c r="T5" s="208">
        <v>30000</v>
      </c>
      <c r="U5" s="213"/>
      <c r="V5" s="210">
        <v>1</v>
      </c>
      <c r="W5" s="211">
        <f>T5*30%</f>
        <v>9000</v>
      </c>
      <c r="X5" s="208">
        <v>30000</v>
      </c>
      <c r="Y5" s="213"/>
      <c r="Z5" s="210">
        <v>1</v>
      </c>
      <c r="AA5" s="211">
        <f>X5*30%</f>
        <v>9000</v>
      </c>
      <c r="AB5" s="429">
        <v>30000</v>
      </c>
      <c r="AC5" s="430"/>
      <c r="AD5" s="431">
        <v>1</v>
      </c>
      <c r="AE5" s="432">
        <f t="shared" ref="AE5:AE25" si="0">AB5*30%</f>
        <v>9000</v>
      </c>
      <c r="AF5" s="429">
        <v>30000</v>
      </c>
      <c r="AG5" s="430"/>
      <c r="AH5" s="431">
        <v>1</v>
      </c>
      <c r="AI5" s="432">
        <f t="shared" ref="AI5:AI15" si="1">AF5*30%</f>
        <v>9000</v>
      </c>
      <c r="AJ5" s="429">
        <v>30000</v>
      </c>
      <c r="AK5" s="430"/>
      <c r="AL5" s="431">
        <v>1</v>
      </c>
      <c r="AM5" s="432">
        <f t="shared" ref="AM5:AM15" si="2">AJ5*30%</f>
        <v>9000</v>
      </c>
      <c r="AN5" s="429">
        <v>30000</v>
      </c>
      <c r="AO5" s="430"/>
      <c r="AP5" s="431">
        <v>1</v>
      </c>
      <c r="AQ5" s="432">
        <f t="shared" ref="AQ5:AQ16" si="3">AN5*30%</f>
        <v>9000</v>
      </c>
      <c r="AR5" s="429">
        <v>30000</v>
      </c>
      <c r="AS5" s="430"/>
      <c r="AT5" s="431">
        <v>1</v>
      </c>
      <c r="AU5" s="432">
        <f t="shared" ref="AU5:AU12" si="4">AR5*30%</f>
        <v>9000</v>
      </c>
      <c r="AV5" s="429">
        <v>30000</v>
      </c>
      <c r="AW5" s="430"/>
      <c r="AX5" s="431">
        <v>1</v>
      </c>
      <c r="AY5" s="432">
        <f t="shared" ref="AY5:AY12" si="5">AV5*30%</f>
        <v>9000</v>
      </c>
      <c r="AZ5" s="690">
        <f>AV5*0.2%</f>
        <v>60</v>
      </c>
      <c r="BA5" s="691"/>
      <c r="BB5" s="691"/>
      <c r="BC5" s="624"/>
      <c r="BD5" s="692"/>
      <c r="BE5" s="692">
        <f>AV5+BC5</f>
        <v>30000</v>
      </c>
      <c r="BF5" s="692">
        <f>AY5+BD5+AZ5</f>
        <v>9060</v>
      </c>
      <c r="BG5" s="214">
        <f>D5+H5+L5+P5+T5+X5</f>
        <v>170700.65</v>
      </c>
      <c r="BH5" s="214">
        <f>BG5+AB5</f>
        <v>200700.65</v>
      </c>
      <c r="BI5" s="214">
        <f>BH5+AF5</f>
        <v>230700.65</v>
      </c>
      <c r="BJ5" s="214">
        <f t="shared" ref="BJ5:BJ56" si="6">BI5+AJ5</f>
        <v>260700.65</v>
      </c>
      <c r="BK5" s="214">
        <f t="shared" ref="BK5:BK60" si="7">BJ5+AN5</f>
        <v>290700.65000000002</v>
      </c>
      <c r="BL5" s="214">
        <f t="shared" ref="BL5:BL68" si="8">BK5+AR5</f>
        <v>320700.65000000002</v>
      </c>
      <c r="BM5" s="214">
        <f t="shared" ref="BM5:BM68" si="9">BL5+AV5</f>
        <v>350700.65</v>
      </c>
      <c r="BN5" s="214"/>
      <c r="BO5" s="214">
        <f t="shared" ref="BO5:BU20" si="10">BG5-512000</f>
        <v>-341299.35</v>
      </c>
      <c r="BP5" s="214">
        <f t="shared" si="10"/>
        <v>-311299.34999999998</v>
      </c>
      <c r="BQ5" s="214">
        <f t="shared" si="10"/>
        <v>-281299.34999999998</v>
      </c>
      <c r="BR5" s="214">
        <f t="shared" si="10"/>
        <v>-251299.35</v>
      </c>
      <c r="BS5" s="214">
        <f t="shared" si="10"/>
        <v>-221299.35</v>
      </c>
      <c r="BT5" s="214">
        <f t="shared" si="10"/>
        <v>-191299.35</v>
      </c>
      <c r="BU5" s="214">
        <f t="shared" si="10"/>
        <v>-161299.35</v>
      </c>
    </row>
    <row r="6" spans="1:73" s="215" customFormat="1" x14ac:dyDescent="0.2">
      <c r="A6" s="201">
        <v>2</v>
      </c>
      <c r="B6" s="202">
        <v>66</v>
      </c>
      <c r="C6" s="203" t="s">
        <v>123</v>
      </c>
      <c r="D6" s="204">
        <v>20000</v>
      </c>
      <c r="E6" s="205"/>
      <c r="F6" s="206">
        <v>0.5</v>
      </c>
      <c r="G6" s="207">
        <f t="shared" ref="G6:G69" si="11">D6*30%</f>
        <v>6000</v>
      </c>
      <c r="H6" s="208">
        <v>30000</v>
      </c>
      <c r="I6" s="209"/>
      <c r="J6" s="210">
        <v>0.5</v>
      </c>
      <c r="K6" s="211">
        <f t="shared" ref="K6:K70" si="12">H6*30%</f>
        <v>9000</v>
      </c>
      <c r="L6" s="208">
        <f>19935.44+1428.57</f>
        <v>21364.01</v>
      </c>
      <c r="M6" s="212">
        <v>19935.439999999999</v>
      </c>
      <c r="N6" s="210">
        <v>0.5</v>
      </c>
      <c r="O6" s="211">
        <f t="shared" ref="O6:O70" si="13">L6*30%</f>
        <v>6409.2</v>
      </c>
      <c r="P6" s="208">
        <v>30000</v>
      </c>
      <c r="Q6" s="209"/>
      <c r="R6" s="210">
        <v>0.5</v>
      </c>
      <c r="S6" s="211">
        <f>P6*30%</f>
        <v>9000</v>
      </c>
      <c r="T6" s="208">
        <v>30000</v>
      </c>
      <c r="U6" s="213"/>
      <c r="V6" s="210">
        <v>0.5</v>
      </c>
      <c r="W6" s="211">
        <f>T6*30%</f>
        <v>9000</v>
      </c>
      <c r="X6" s="208">
        <v>30000</v>
      </c>
      <c r="Y6" s="213"/>
      <c r="Z6" s="210">
        <v>0.5</v>
      </c>
      <c r="AA6" s="211">
        <f>X6*30%</f>
        <v>9000</v>
      </c>
      <c r="AB6" s="429">
        <v>30000</v>
      </c>
      <c r="AC6" s="430"/>
      <c r="AD6" s="431">
        <v>0.5</v>
      </c>
      <c r="AE6" s="432">
        <f t="shared" si="0"/>
        <v>9000</v>
      </c>
      <c r="AF6" s="429">
        <v>30000</v>
      </c>
      <c r="AG6" s="430"/>
      <c r="AH6" s="431">
        <v>0.5</v>
      </c>
      <c r="AI6" s="432">
        <f t="shared" si="1"/>
        <v>9000</v>
      </c>
      <c r="AJ6" s="429">
        <v>30000</v>
      </c>
      <c r="AK6" s="430"/>
      <c r="AL6" s="431">
        <v>0.5</v>
      </c>
      <c r="AM6" s="432">
        <f t="shared" si="2"/>
        <v>9000</v>
      </c>
      <c r="AN6" s="429">
        <v>35000</v>
      </c>
      <c r="AO6" s="430"/>
      <c r="AP6" s="431">
        <v>0.5</v>
      </c>
      <c r="AQ6" s="432">
        <f t="shared" si="3"/>
        <v>10500</v>
      </c>
      <c r="AR6" s="429">
        <v>35000</v>
      </c>
      <c r="AS6" s="430"/>
      <c r="AT6" s="431">
        <v>0.5</v>
      </c>
      <c r="AU6" s="432">
        <f t="shared" si="4"/>
        <v>10500</v>
      </c>
      <c r="AV6" s="429">
        <v>35000</v>
      </c>
      <c r="AW6" s="430"/>
      <c r="AX6" s="431">
        <v>0.5</v>
      </c>
      <c r="AY6" s="432">
        <f t="shared" si="5"/>
        <v>10500</v>
      </c>
      <c r="AZ6" s="690">
        <f t="shared" ref="AZ6:AZ69" si="14">AV6*0.2%</f>
        <v>70</v>
      </c>
      <c r="BA6" s="691"/>
      <c r="BB6" s="691"/>
      <c r="BC6" s="624"/>
      <c r="BD6" s="692"/>
      <c r="BE6" s="692">
        <f>AV6+BC6</f>
        <v>35000</v>
      </c>
      <c r="BF6" s="692">
        <f t="shared" ref="BF6:BF69" si="15">AY6+BD6+AZ6</f>
        <v>10570</v>
      </c>
      <c r="BG6" s="214">
        <f t="shared" ref="BG6:BG69" si="16">D6+H6+L6+P6+T6+X6</f>
        <v>161364.01</v>
      </c>
      <c r="BH6" s="214">
        <f>BG6+AB6</f>
        <v>191364.01</v>
      </c>
      <c r="BI6" s="214">
        <f>BH6+AF6</f>
        <v>221364.01</v>
      </c>
      <c r="BJ6" s="214">
        <f t="shared" si="6"/>
        <v>251364.01</v>
      </c>
      <c r="BK6" s="214">
        <f t="shared" si="7"/>
        <v>286364.01</v>
      </c>
      <c r="BL6" s="214">
        <f t="shared" si="8"/>
        <v>321364.01</v>
      </c>
      <c r="BM6" s="214">
        <f t="shared" si="9"/>
        <v>356364.01</v>
      </c>
      <c r="BN6" s="214"/>
      <c r="BO6" s="214">
        <f t="shared" si="10"/>
        <v>-350635.99</v>
      </c>
      <c r="BP6" s="214">
        <f t="shared" si="10"/>
        <v>-320635.99</v>
      </c>
      <c r="BQ6" s="214">
        <f t="shared" si="10"/>
        <v>-290635.99</v>
      </c>
      <c r="BR6" s="214">
        <f t="shared" si="10"/>
        <v>-260635.99</v>
      </c>
      <c r="BS6" s="214">
        <f t="shared" si="10"/>
        <v>-225635.99</v>
      </c>
      <c r="BT6" s="214">
        <f t="shared" si="10"/>
        <v>-190635.99</v>
      </c>
      <c r="BU6" s="214">
        <f t="shared" si="10"/>
        <v>-155635.99</v>
      </c>
    </row>
    <row r="7" spans="1:73" s="215" customFormat="1" x14ac:dyDescent="0.2">
      <c r="A7" s="201">
        <v>3</v>
      </c>
      <c r="B7" s="202">
        <v>164</v>
      </c>
      <c r="C7" s="203" t="s">
        <v>285</v>
      </c>
      <c r="D7" s="204"/>
      <c r="E7" s="205"/>
      <c r="F7" s="206"/>
      <c r="G7" s="207"/>
      <c r="H7" s="208"/>
      <c r="I7" s="209"/>
      <c r="J7" s="210"/>
      <c r="K7" s="211"/>
      <c r="L7" s="208"/>
      <c r="M7" s="212"/>
      <c r="N7" s="210"/>
      <c r="O7" s="211"/>
      <c r="P7" s="208"/>
      <c r="Q7" s="209"/>
      <c r="R7" s="210"/>
      <c r="S7" s="211"/>
      <c r="T7" s="208"/>
      <c r="U7" s="213"/>
      <c r="V7" s="210"/>
      <c r="W7" s="211"/>
      <c r="X7" s="208"/>
      <c r="Y7" s="213"/>
      <c r="Z7" s="210"/>
      <c r="AA7" s="211"/>
      <c r="AB7" s="429"/>
      <c r="AC7" s="430"/>
      <c r="AD7" s="431"/>
      <c r="AE7" s="432"/>
      <c r="AF7" s="429"/>
      <c r="AG7" s="430"/>
      <c r="AH7" s="431"/>
      <c r="AI7" s="432"/>
      <c r="AJ7" s="429">
        <v>20000</v>
      </c>
      <c r="AK7" s="430"/>
      <c r="AL7" s="431">
        <v>0.5</v>
      </c>
      <c r="AM7" s="432">
        <f t="shared" si="2"/>
        <v>6000</v>
      </c>
      <c r="AN7" s="429">
        <v>20000</v>
      </c>
      <c r="AO7" s="430"/>
      <c r="AP7" s="431">
        <v>0.5</v>
      </c>
      <c r="AQ7" s="432">
        <f t="shared" si="3"/>
        <v>6000</v>
      </c>
      <c r="AR7" s="429">
        <v>20000</v>
      </c>
      <c r="AS7" s="430"/>
      <c r="AT7" s="431">
        <v>0.5</v>
      </c>
      <c r="AU7" s="432">
        <f t="shared" si="4"/>
        <v>6000</v>
      </c>
      <c r="AV7" s="429">
        <v>20000</v>
      </c>
      <c r="AW7" s="430"/>
      <c r="AX7" s="431">
        <v>0.5</v>
      </c>
      <c r="AY7" s="432">
        <f t="shared" si="5"/>
        <v>6000</v>
      </c>
      <c r="AZ7" s="690">
        <f t="shared" si="14"/>
        <v>40</v>
      </c>
      <c r="BA7" s="691"/>
      <c r="BB7" s="691"/>
      <c r="BC7" s="624"/>
      <c r="BD7" s="209"/>
      <c r="BE7" s="692">
        <f>AV7+BC7</f>
        <v>20000</v>
      </c>
      <c r="BF7" s="692">
        <f t="shared" si="15"/>
        <v>6040</v>
      </c>
      <c r="BJ7" s="214">
        <f t="shared" si="6"/>
        <v>20000</v>
      </c>
      <c r="BK7" s="214">
        <f t="shared" si="7"/>
        <v>40000</v>
      </c>
      <c r="BL7" s="214">
        <f t="shared" si="8"/>
        <v>60000</v>
      </c>
      <c r="BM7" s="214">
        <f t="shared" si="9"/>
        <v>80000</v>
      </c>
      <c r="BR7" s="214">
        <f t="shared" si="10"/>
        <v>-492000</v>
      </c>
      <c r="BS7" s="214">
        <f t="shared" si="10"/>
        <v>-472000</v>
      </c>
      <c r="BT7" s="214">
        <f t="shared" si="10"/>
        <v>-452000</v>
      </c>
      <c r="BU7" s="214">
        <f t="shared" si="10"/>
        <v>-432000</v>
      </c>
    </row>
    <row r="8" spans="1:73" s="215" customFormat="1" x14ac:dyDescent="0.2">
      <c r="A8" s="201">
        <v>3</v>
      </c>
      <c r="B8" s="202">
        <v>145</v>
      </c>
      <c r="C8" s="216" t="s">
        <v>124</v>
      </c>
      <c r="D8" s="217">
        <f>25000+3971.09</f>
        <v>28971.09</v>
      </c>
      <c r="E8" s="218"/>
      <c r="F8" s="219">
        <v>1</v>
      </c>
      <c r="G8" s="220">
        <f t="shared" si="11"/>
        <v>8691.33</v>
      </c>
      <c r="H8" s="221">
        <v>0</v>
      </c>
      <c r="I8" s="222"/>
      <c r="J8" s="223">
        <v>0</v>
      </c>
      <c r="K8" s="224">
        <f t="shared" si="12"/>
        <v>0</v>
      </c>
      <c r="L8" s="221">
        <v>0</v>
      </c>
      <c r="M8" s="225"/>
      <c r="N8" s="223">
        <v>0</v>
      </c>
      <c r="O8" s="224">
        <f t="shared" si="13"/>
        <v>0</v>
      </c>
      <c r="P8" s="221"/>
      <c r="Q8" s="222"/>
      <c r="R8" s="223">
        <v>0</v>
      </c>
      <c r="S8" s="224">
        <f>P8*30%</f>
        <v>0</v>
      </c>
      <c r="T8" s="221"/>
      <c r="U8" s="226"/>
      <c r="V8" s="223">
        <v>0</v>
      </c>
      <c r="W8" s="211">
        <f>T8*30%</f>
        <v>0</v>
      </c>
      <c r="X8" s="221"/>
      <c r="Y8" s="226"/>
      <c r="Z8" s="223">
        <v>0</v>
      </c>
      <c r="AA8" s="224">
        <f>X8*30%</f>
        <v>0</v>
      </c>
      <c r="AB8" s="433"/>
      <c r="AC8" s="434"/>
      <c r="AD8" s="435">
        <v>0</v>
      </c>
      <c r="AE8" s="436">
        <f t="shared" si="0"/>
        <v>0</v>
      </c>
      <c r="AF8" s="433"/>
      <c r="AG8" s="434"/>
      <c r="AH8" s="435">
        <v>0</v>
      </c>
      <c r="AI8" s="436">
        <f t="shared" si="1"/>
        <v>0</v>
      </c>
      <c r="AJ8" s="433"/>
      <c r="AK8" s="434"/>
      <c r="AL8" s="435">
        <v>0</v>
      </c>
      <c r="AM8" s="436">
        <f t="shared" si="2"/>
        <v>0</v>
      </c>
      <c r="AN8" s="433"/>
      <c r="AO8" s="434"/>
      <c r="AP8" s="435">
        <v>0</v>
      </c>
      <c r="AQ8" s="436">
        <f t="shared" si="3"/>
        <v>0</v>
      </c>
      <c r="AR8" s="433"/>
      <c r="AS8" s="434"/>
      <c r="AT8" s="435">
        <v>0</v>
      </c>
      <c r="AU8" s="436">
        <f t="shared" si="4"/>
        <v>0</v>
      </c>
      <c r="AV8" s="433"/>
      <c r="AW8" s="434"/>
      <c r="AX8" s="435">
        <v>0</v>
      </c>
      <c r="AY8" s="436">
        <f t="shared" si="5"/>
        <v>0</v>
      </c>
      <c r="AZ8" s="690">
        <f t="shared" si="14"/>
        <v>0</v>
      </c>
      <c r="BA8" s="691"/>
      <c r="BB8" s="691"/>
      <c r="BC8" s="624"/>
      <c r="BD8" s="692"/>
      <c r="BE8" s="692"/>
      <c r="BF8" s="692">
        <f t="shared" si="15"/>
        <v>0</v>
      </c>
      <c r="BG8" s="214">
        <f t="shared" si="16"/>
        <v>28971.09</v>
      </c>
      <c r="BH8" s="214">
        <f t="shared" ref="BH8:BH15" si="17">BG8+AB8</f>
        <v>28971.09</v>
      </c>
      <c r="BI8" s="214">
        <f t="shared" ref="BI8:BI15" si="18">BH8+AF8</f>
        <v>28971.09</v>
      </c>
      <c r="BJ8" s="214">
        <f t="shared" si="6"/>
        <v>28971.09</v>
      </c>
      <c r="BK8" s="214">
        <f t="shared" si="7"/>
        <v>28971.09</v>
      </c>
      <c r="BL8" s="214">
        <f t="shared" si="8"/>
        <v>28971.09</v>
      </c>
      <c r="BM8" s="214">
        <f t="shared" si="9"/>
        <v>28971.09</v>
      </c>
      <c r="BN8" s="214"/>
      <c r="BO8" s="214">
        <f t="shared" si="10"/>
        <v>-483028.91</v>
      </c>
      <c r="BP8" s="214">
        <f t="shared" si="10"/>
        <v>-483028.91</v>
      </c>
      <c r="BQ8" s="214">
        <f t="shared" si="10"/>
        <v>-483028.91</v>
      </c>
      <c r="BR8" s="214">
        <f t="shared" si="10"/>
        <v>-483028.91</v>
      </c>
      <c r="BS8" s="214">
        <f t="shared" si="10"/>
        <v>-483028.91</v>
      </c>
      <c r="BT8" s="214">
        <f t="shared" si="10"/>
        <v>-483028.91</v>
      </c>
      <c r="BU8" s="214">
        <f t="shared" si="10"/>
        <v>-483028.91</v>
      </c>
    </row>
    <row r="9" spans="1:73" s="215" customFormat="1" x14ac:dyDescent="0.2">
      <c r="A9" s="201">
        <v>4</v>
      </c>
      <c r="B9" s="202">
        <v>150</v>
      </c>
      <c r="C9" s="227" t="s">
        <v>125</v>
      </c>
      <c r="D9" s="228">
        <v>0</v>
      </c>
      <c r="E9" s="229"/>
      <c r="F9" s="230">
        <v>0</v>
      </c>
      <c r="G9" s="231">
        <v>0</v>
      </c>
      <c r="H9" s="232">
        <v>0</v>
      </c>
      <c r="I9" s="233"/>
      <c r="J9" s="230">
        <v>0</v>
      </c>
      <c r="K9" s="234">
        <v>0</v>
      </c>
      <c r="L9" s="232">
        <v>27142.86</v>
      </c>
      <c r="M9" s="235"/>
      <c r="N9" s="230">
        <f>27/31</f>
        <v>0.871</v>
      </c>
      <c r="O9" s="234">
        <f t="shared" si="13"/>
        <v>8142.86</v>
      </c>
      <c r="P9" s="208">
        <v>30000</v>
      </c>
      <c r="Q9" s="233"/>
      <c r="R9" s="230">
        <v>1</v>
      </c>
      <c r="S9" s="234">
        <v>0</v>
      </c>
      <c r="T9" s="208">
        <v>30000</v>
      </c>
      <c r="U9" s="236"/>
      <c r="V9" s="230">
        <v>1</v>
      </c>
      <c r="W9" s="211">
        <f>T9*30%</f>
        <v>9000</v>
      </c>
      <c r="X9" s="208">
        <v>30000</v>
      </c>
      <c r="Y9" s="236"/>
      <c r="Z9" s="230">
        <v>1</v>
      </c>
      <c r="AA9" s="211">
        <f>X9*30%</f>
        <v>9000</v>
      </c>
      <c r="AB9" s="429">
        <v>30000</v>
      </c>
      <c r="AC9" s="437"/>
      <c r="AD9" s="438">
        <v>1</v>
      </c>
      <c r="AE9" s="432">
        <f t="shared" si="0"/>
        <v>9000</v>
      </c>
      <c r="AF9" s="429">
        <v>30000</v>
      </c>
      <c r="AG9" s="437"/>
      <c r="AH9" s="438">
        <v>1</v>
      </c>
      <c r="AI9" s="432">
        <f t="shared" si="1"/>
        <v>9000</v>
      </c>
      <c r="AJ9" s="429">
        <v>30000</v>
      </c>
      <c r="AK9" s="437"/>
      <c r="AL9" s="438">
        <v>1</v>
      </c>
      <c r="AM9" s="432">
        <f>AJ9*30%</f>
        <v>9000</v>
      </c>
      <c r="AN9" s="429">
        <v>30000</v>
      </c>
      <c r="AO9" s="437"/>
      <c r="AP9" s="438">
        <v>1</v>
      </c>
      <c r="AQ9" s="432">
        <f t="shared" si="3"/>
        <v>9000</v>
      </c>
      <c r="AR9" s="429">
        <v>29192.400000000001</v>
      </c>
      <c r="AS9" s="437">
        <v>2049.54</v>
      </c>
      <c r="AT9" s="438">
        <v>1</v>
      </c>
      <c r="AU9" s="432">
        <f t="shared" si="4"/>
        <v>8757.7199999999993</v>
      </c>
      <c r="AV9" s="429">
        <v>30788.91</v>
      </c>
      <c r="AW9" s="437">
        <v>7931.77</v>
      </c>
      <c r="AX9" s="438">
        <v>1</v>
      </c>
      <c r="AY9" s="432">
        <f t="shared" si="5"/>
        <v>9236.67</v>
      </c>
      <c r="AZ9" s="690">
        <f t="shared" si="14"/>
        <v>61.58</v>
      </c>
      <c r="BA9" s="691"/>
      <c r="BB9" s="691"/>
      <c r="BC9" s="624"/>
      <c r="BD9" s="692"/>
      <c r="BE9" s="692">
        <f>AV9+BC9</f>
        <v>30788.91</v>
      </c>
      <c r="BF9" s="692">
        <f t="shared" si="15"/>
        <v>9298.25</v>
      </c>
      <c r="BG9" s="214">
        <f t="shared" si="16"/>
        <v>117142.86</v>
      </c>
      <c r="BH9" s="214">
        <f t="shared" si="17"/>
        <v>147142.85999999999</v>
      </c>
      <c r="BI9" s="214">
        <f t="shared" si="18"/>
        <v>177142.86</v>
      </c>
      <c r="BJ9" s="214">
        <f t="shared" si="6"/>
        <v>207142.86</v>
      </c>
      <c r="BK9" s="214">
        <f t="shared" si="7"/>
        <v>237142.86</v>
      </c>
      <c r="BL9" s="214">
        <f t="shared" si="8"/>
        <v>266335.26</v>
      </c>
      <c r="BM9" s="214">
        <f t="shared" si="9"/>
        <v>297124.17</v>
      </c>
      <c r="BN9" s="214"/>
      <c r="BO9" s="214">
        <f t="shared" si="10"/>
        <v>-394857.14</v>
      </c>
      <c r="BP9" s="214">
        <f t="shared" si="10"/>
        <v>-364857.14</v>
      </c>
      <c r="BQ9" s="214">
        <f t="shared" si="10"/>
        <v>-334857.14</v>
      </c>
      <c r="BR9" s="214">
        <f t="shared" si="10"/>
        <v>-304857.14</v>
      </c>
      <c r="BS9" s="214">
        <f t="shared" si="10"/>
        <v>-274857.14</v>
      </c>
      <c r="BT9" s="214">
        <f t="shared" si="10"/>
        <v>-245664.74</v>
      </c>
      <c r="BU9" s="214">
        <f t="shared" si="10"/>
        <v>-214875.83</v>
      </c>
    </row>
    <row r="10" spans="1:73" s="215" customFormat="1" x14ac:dyDescent="0.2">
      <c r="A10" s="201">
        <v>5</v>
      </c>
      <c r="B10" s="202">
        <v>130</v>
      </c>
      <c r="C10" s="237" t="s">
        <v>126</v>
      </c>
      <c r="D10" s="238">
        <v>22500</v>
      </c>
      <c r="E10" s="239"/>
      <c r="F10" s="240">
        <v>0.5</v>
      </c>
      <c r="G10" s="241">
        <f t="shared" si="11"/>
        <v>6750</v>
      </c>
      <c r="H10" s="242">
        <v>27000</v>
      </c>
      <c r="I10" s="243"/>
      <c r="J10" s="240">
        <v>0.5</v>
      </c>
      <c r="K10" s="244">
        <f t="shared" si="12"/>
        <v>8100</v>
      </c>
      <c r="L10" s="242">
        <f>21818.16+1285.71</f>
        <v>23103.87</v>
      </c>
      <c r="M10" s="245">
        <v>21818.16</v>
      </c>
      <c r="N10" s="240">
        <v>0.5</v>
      </c>
      <c r="O10" s="244">
        <f t="shared" si="13"/>
        <v>6931.16</v>
      </c>
      <c r="P10" s="242">
        <v>27000</v>
      </c>
      <c r="Q10" s="243"/>
      <c r="R10" s="240">
        <v>0.5</v>
      </c>
      <c r="S10" s="244">
        <f t="shared" ref="S10:S70" si="19">P10*30%</f>
        <v>8100</v>
      </c>
      <c r="T10" s="242">
        <v>27000</v>
      </c>
      <c r="U10" s="246"/>
      <c r="V10" s="240">
        <v>0.5</v>
      </c>
      <c r="W10" s="244">
        <f t="shared" ref="W10:W32" si="20">T10*30%</f>
        <v>8100</v>
      </c>
      <c r="X10" s="242">
        <v>27000</v>
      </c>
      <c r="Y10" s="246"/>
      <c r="Z10" s="240">
        <v>0.5</v>
      </c>
      <c r="AA10" s="244">
        <f t="shared" ref="AA10:AA31" si="21">X10*30%</f>
        <v>8100</v>
      </c>
      <c r="AB10" s="439">
        <v>27000</v>
      </c>
      <c r="AC10" s="440"/>
      <c r="AD10" s="441">
        <v>0.5</v>
      </c>
      <c r="AE10" s="442">
        <f t="shared" si="0"/>
        <v>8100</v>
      </c>
      <c r="AF10" s="439">
        <v>27000</v>
      </c>
      <c r="AG10" s="440"/>
      <c r="AH10" s="441">
        <v>0.5</v>
      </c>
      <c r="AI10" s="442">
        <f t="shared" si="1"/>
        <v>8100</v>
      </c>
      <c r="AJ10" s="439">
        <v>27000</v>
      </c>
      <c r="AK10" s="440"/>
      <c r="AL10" s="441">
        <v>0.5</v>
      </c>
      <c r="AM10" s="442">
        <f t="shared" si="2"/>
        <v>8100</v>
      </c>
      <c r="AN10" s="439">
        <v>27000</v>
      </c>
      <c r="AO10" s="440"/>
      <c r="AP10" s="441">
        <v>0.5</v>
      </c>
      <c r="AQ10" s="442">
        <f t="shared" si="3"/>
        <v>8100</v>
      </c>
      <c r="AR10" s="439">
        <v>27000</v>
      </c>
      <c r="AS10" s="440"/>
      <c r="AT10" s="441">
        <v>0.5</v>
      </c>
      <c r="AU10" s="442">
        <f t="shared" si="4"/>
        <v>8100</v>
      </c>
      <c r="AV10" s="439">
        <v>27000</v>
      </c>
      <c r="AW10" s="440"/>
      <c r="AX10" s="441">
        <v>0.5</v>
      </c>
      <c r="AY10" s="442">
        <f t="shared" si="5"/>
        <v>8100</v>
      </c>
      <c r="AZ10" s="690">
        <f t="shared" si="14"/>
        <v>54</v>
      </c>
      <c r="BA10" s="691"/>
      <c r="BB10" s="691"/>
      <c r="BC10" s="624"/>
      <c r="BD10" s="692"/>
      <c r="BE10" s="692">
        <f>AV10+BC10</f>
        <v>27000</v>
      </c>
      <c r="BF10" s="692">
        <f t="shared" si="15"/>
        <v>8154</v>
      </c>
      <c r="BG10" s="214">
        <f t="shared" si="16"/>
        <v>153603.87</v>
      </c>
      <c r="BH10" s="214">
        <f t="shared" si="17"/>
        <v>180603.87</v>
      </c>
      <c r="BI10" s="214">
        <f t="shared" si="18"/>
        <v>207603.87</v>
      </c>
      <c r="BJ10" s="214">
        <f t="shared" si="6"/>
        <v>234603.87</v>
      </c>
      <c r="BK10" s="214">
        <f t="shared" si="7"/>
        <v>261603.87</v>
      </c>
      <c r="BL10" s="214">
        <f t="shared" si="8"/>
        <v>288603.87</v>
      </c>
      <c r="BM10" s="214">
        <f t="shared" si="9"/>
        <v>315603.87</v>
      </c>
      <c r="BN10" s="214"/>
      <c r="BO10" s="214">
        <f t="shared" si="10"/>
        <v>-358396.13</v>
      </c>
      <c r="BP10" s="214">
        <f t="shared" si="10"/>
        <v>-331396.13</v>
      </c>
      <c r="BQ10" s="214">
        <f t="shared" si="10"/>
        <v>-304396.13</v>
      </c>
      <c r="BR10" s="214">
        <f t="shared" si="10"/>
        <v>-277396.13</v>
      </c>
      <c r="BS10" s="214">
        <f t="shared" si="10"/>
        <v>-250396.13</v>
      </c>
      <c r="BT10" s="214">
        <f t="shared" si="10"/>
        <v>-223396.13</v>
      </c>
      <c r="BU10" s="214">
        <f t="shared" si="10"/>
        <v>-196396.13</v>
      </c>
    </row>
    <row r="11" spans="1:73" s="215" customFormat="1" x14ac:dyDescent="0.2">
      <c r="A11" s="201">
        <v>6</v>
      </c>
      <c r="B11" s="202">
        <v>138</v>
      </c>
      <c r="C11" s="203" t="s">
        <v>211</v>
      </c>
      <c r="D11" s="204">
        <f>13750+13095.18</f>
        <v>26845.18</v>
      </c>
      <c r="E11" s="205">
        <f>13095.18</f>
        <v>13095.18</v>
      </c>
      <c r="F11" s="206">
        <v>1</v>
      </c>
      <c r="G11" s="207">
        <f t="shared" si="11"/>
        <v>8053.55</v>
      </c>
      <c r="H11" s="208">
        <v>29700</v>
      </c>
      <c r="I11" s="205"/>
      <c r="J11" s="210">
        <v>1</v>
      </c>
      <c r="K11" s="211">
        <f t="shared" si="12"/>
        <v>8910</v>
      </c>
      <c r="L11" s="208">
        <v>33000</v>
      </c>
      <c r="M11" s="205"/>
      <c r="N11" s="210">
        <v>1</v>
      </c>
      <c r="O11" s="211">
        <f t="shared" si="13"/>
        <v>9900</v>
      </c>
      <c r="P11" s="208">
        <v>33000</v>
      </c>
      <c r="Q11" s="205"/>
      <c r="R11" s="210">
        <v>1</v>
      </c>
      <c r="S11" s="211">
        <f t="shared" si="19"/>
        <v>9900</v>
      </c>
      <c r="T11" s="208">
        <v>33000</v>
      </c>
      <c r="U11" s="205"/>
      <c r="V11" s="210">
        <v>1</v>
      </c>
      <c r="W11" s="211">
        <f t="shared" si="20"/>
        <v>9900</v>
      </c>
      <c r="X11" s="208">
        <v>31319.200000000001</v>
      </c>
      <c r="Y11" s="205">
        <v>9869.2000000000007</v>
      </c>
      <c r="Z11" s="210">
        <v>1</v>
      </c>
      <c r="AA11" s="211">
        <f t="shared" si="21"/>
        <v>9395.76</v>
      </c>
      <c r="AB11" s="429">
        <v>33000</v>
      </c>
      <c r="AC11" s="443"/>
      <c r="AD11" s="431">
        <v>1</v>
      </c>
      <c r="AE11" s="432">
        <f t="shared" si="0"/>
        <v>9900</v>
      </c>
      <c r="AF11" s="429">
        <v>33000</v>
      </c>
      <c r="AG11" s="443"/>
      <c r="AH11" s="431">
        <v>1</v>
      </c>
      <c r="AI11" s="432">
        <f t="shared" si="1"/>
        <v>9900</v>
      </c>
      <c r="AJ11" s="429">
        <v>30143.599999999999</v>
      </c>
      <c r="AK11" s="443">
        <v>10343.6</v>
      </c>
      <c r="AL11" s="431">
        <v>1</v>
      </c>
      <c r="AM11" s="432">
        <f t="shared" si="2"/>
        <v>9043.08</v>
      </c>
      <c r="AN11" s="429">
        <v>33000</v>
      </c>
      <c r="AO11" s="443"/>
      <c r="AP11" s="431">
        <v>1</v>
      </c>
      <c r="AQ11" s="432">
        <f t="shared" si="3"/>
        <v>9900</v>
      </c>
      <c r="AR11" s="429">
        <v>33000</v>
      </c>
      <c r="AS11" s="443"/>
      <c r="AT11" s="431">
        <v>1</v>
      </c>
      <c r="AU11" s="432">
        <f t="shared" si="4"/>
        <v>9900</v>
      </c>
      <c r="AV11" s="429">
        <v>33000</v>
      </c>
      <c r="AW11" s="443"/>
      <c r="AX11" s="431">
        <v>1</v>
      </c>
      <c r="AY11" s="432">
        <f t="shared" si="5"/>
        <v>9900</v>
      </c>
      <c r="AZ11" s="690">
        <f t="shared" si="14"/>
        <v>66</v>
      </c>
      <c r="BA11" s="691"/>
      <c r="BB11" s="691"/>
      <c r="BC11" s="624"/>
      <c r="BD11" s="692"/>
      <c r="BE11" s="692">
        <f>AV11+BC11</f>
        <v>33000</v>
      </c>
      <c r="BF11" s="692">
        <f t="shared" si="15"/>
        <v>9966</v>
      </c>
      <c r="BG11" s="214">
        <f t="shared" si="16"/>
        <v>186864.38</v>
      </c>
      <c r="BH11" s="214">
        <f t="shared" si="17"/>
        <v>219864.38</v>
      </c>
      <c r="BI11" s="214">
        <f t="shared" si="18"/>
        <v>252864.38</v>
      </c>
      <c r="BJ11" s="214">
        <f t="shared" si="6"/>
        <v>283007.98</v>
      </c>
      <c r="BK11" s="214">
        <f t="shared" si="7"/>
        <v>316007.98</v>
      </c>
      <c r="BL11" s="214">
        <f t="shared" si="8"/>
        <v>349007.98</v>
      </c>
      <c r="BM11" s="214">
        <f t="shared" si="9"/>
        <v>382007.98</v>
      </c>
      <c r="BN11" s="214"/>
      <c r="BO11" s="214">
        <f t="shared" si="10"/>
        <v>-325135.62</v>
      </c>
      <c r="BP11" s="214">
        <f t="shared" si="10"/>
        <v>-292135.62</v>
      </c>
      <c r="BQ11" s="214">
        <f t="shared" si="10"/>
        <v>-259135.62</v>
      </c>
      <c r="BR11" s="214">
        <f t="shared" si="10"/>
        <v>-228992.02</v>
      </c>
      <c r="BS11" s="214">
        <f t="shared" si="10"/>
        <v>-195992.02</v>
      </c>
      <c r="BT11" s="214">
        <f t="shared" si="10"/>
        <v>-162992.01999999999</v>
      </c>
      <c r="BU11" s="214">
        <f t="shared" si="10"/>
        <v>-129992.02</v>
      </c>
    </row>
    <row r="12" spans="1:73" s="215" customFormat="1" x14ac:dyDescent="0.2">
      <c r="A12" s="201">
        <v>7</v>
      </c>
      <c r="B12" s="202">
        <v>132</v>
      </c>
      <c r="C12" s="237" t="s">
        <v>127</v>
      </c>
      <c r="D12" s="238">
        <v>27500</v>
      </c>
      <c r="E12" s="239"/>
      <c r="F12" s="240">
        <v>0.5</v>
      </c>
      <c r="G12" s="241">
        <f t="shared" si="11"/>
        <v>8250</v>
      </c>
      <c r="H12" s="242">
        <v>30000</v>
      </c>
      <c r="I12" s="243"/>
      <c r="J12" s="240">
        <v>0.5</v>
      </c>
      <c r="K12" s="244">
        <f t="shared" si="12"/>
        <v>9000</v>
      </c>
      <c r="L12" s="242">
        <f>1428.57+26406.8</f>
        <v>27835.37</v>
      </c>
      <c r="M12" s="245">
        <v>26406.799999999999</v>
      </c>
      <c r="N12" s="240">
        <v>0.5</v>
      </c>
      <c r="O12" s="244">
        <f t="shared" si="13"/>
        <v>8350.61</v>
      </c>
      <c r="P12" s="242">
        <v>30000</v>
      </c>
      <c r="Q12" s="243"/>
      <c r="R12" s="240">
        <v>0.5</v>
      </c>
      <c r="S12" s="244">
        <f t="shared" si="19"/>
        <v>9000</v>
      </c>
      <c r="T12" s="242">
        <v>30000</v>
      </c>
      <c r="U12" s="246"/>
      <c r="V12" s="240">
        <v>0.5</v>
      </c>
      <c r="W12" s="244">
        <f t="shared" si="20"/>
        <v>9000</v>
      </c>
      <c r="X12" s="242">
        <v>30000</v>
      </c>
      <c r="Y12" s="246"/>
      <c r="Z12" s="240">
        <v>0.5</v>
      </c>
      <c r="AA12" s="244">
        <f t="shared" si="21"/>
        <v>9000</v>
      </c>
      <c r="AB12" s="439">
        <v>30000</v>
      </c>
      <c r="AC12" s="440"/>
      <c r="AD12" s="441">
        <v>0.5</v>
      </c>
      <c r="AE12" s="442">
        <f t="shared" si="0"/>
        <v>9000</v>
      </c>
      <c r="AF12" s="439">
        <v>30000</v>
      </c>
      <c r="AG12" s="440"/>
      <c r="AH12" s="441">
        <v>0.5</v>
      </c>
      <c r="AI12" s="442">
        <f t="shared" si="1"/>
        <v>9000</v>
      </c>
      <c r="AJ12" s="439">
        <v>30000</v>
      </c>
      <c r="AK12" s="440"/>
      <c r="AL12" s="441">
        <v>0.5</v>
      </c>
      <c r="AM12" s="442">
        <f t="shared" si="2"/>
        <v>9000</v>
      </c>
      <c r="AN12" s="439">
        <v>35000</v>
      </c>
      <c r="AO12" s="440"/>
      <c r="AP12" s="441">
        <v>0.5</v>
      </c>
      <c r="AQ12" s="442">
        <f t="shared" si="3"/>
        <v>10500</v>
      </c>
      <c r="AR12" s="439">
        <v>35000</v>
      </c>
      <c r="AS12" s="440"/>
      <c r="AT12" s="441">
        <v>0.5</v>
      </c>
      <c r="AU12" s="442">
        <f t="shared" si="4"/>
        <v>10500</v>
      </c>
      <c r="AV12" s="439">
        <v>35000</v>
      </c>
      <c r="AW12" s="440"/>
      <c r="AX12" s="441">
        <v>0.5</v>
      </c>
      <c r="AY12" s="442">
        <f t="shared" si="5"/>
        <v>10500</v>
      </c>
      <c r="AZ12" s="690">
        <f t="shared" si="14"/>
        <v>70</v>
      </c>
      <c r="BA12" s="691"/>
      <c r="BB12" s="691"/>
      <c r="BC12" s="624"/>
      <c r="BD12" s="692"/>
      <c r="BE12" s="692">
        <f>AV12+BC12</f>
        <v>35000</v>
      </c>
      <c r="BF12" s="692">
        <f t="shared" si="15"/>
        <v>10570</v>
      </c>
      <c r="BG12" s="214">
        <f t="shared" si="16"/>
        <v>175335.37</v>
      </c>
      <c r="BH12" s="214">
        <f t="shared" si="17"/>
        <v>205335.37</v>
      </c>
      <c r="BI12" s="214">
        <f t="shared" si="18"/>
        <v>235335.37</v>
      </c>
      <c r="BJ12" s="214">
        <f t="shared" si="6"/>
        <v>265335.37</v>
      </c>
      <c r="BK12" s="214">
        <f t="shared" si="7"/>
        <v>300335.37</v>
      </c>
      <c r="BL12" s="214">
        <f t="shared" si="8"/>
        <v>335335.37</v>
      </c>
      <c r="BM12" s="214">
        <f t="shared" si="9"/>
        <v>370335.37</v>
      </c>
      <c r="BN12" s="214"/>
      <c r="BO12" s="214">
        <f t="shared" si="10"/>
        <v>-336664.63</v>
      </c>
      <c r="BP12" s="214">
        <f t="shared" si="10"/>
        <v>-306664.63</v>
      </c>
      <c r="BQ12" s="214">
        <f t="shared" si="10"/>
        <v>-276664.63</v>
      </c>
      <c r="BR12" s="214">
        <f t="shared" si="10"/>
        <v>-246664.63</v>
      </c>
      <c r="BS12" s="214">
        <f t="shared" si="10"/>
        <v>-211664.63</v>
      </c>
      <c r="BT12" s="214">
        <f t="shared" si="10"/>
        <v>-176664.63</v>
      </c>
      <c r="BU12" s="214">
        <f t="shared" si="10"/>
        <v>-141664.63</v>
      </c>
    </row>
    <row r="13" spans="1:73" s="215" customFormat="1" x14ac:dyDescent="0.2">
      <c r="A13" s="201">
        <v>8</v>
      </c>
      <c r="B13" s="202">
        <v>142</v>
      </c>
      <c r="C13" s="203" t="s">
        <v>128</v>
      </c>
      <c r="D13" s="204">
        <v>44000</v>
      </c>
      <c r="E13" s="205"/>
      <c r="F13" s="206">
        <v>1</v>
      </c>
      <c r="G13" s="207">
        <f t="shared" si="11"/>
        <v>13200</v>
      </c>
      <c r="H13" s="208">
        <v>66000</v>
      </c>
      <c r="I13" s="209"/>
      <c r="J13" s="210">
        <v>1</v>
      </c>
      <c r="K13" s="211">
        <f t="shared" si="12"/>
        <v>19800</v>
      </c>
      <c r="L13" s="208">
        <v>66000</v>
      </c>
      <c r="M13" s="212"/>
      <c r="N13" s="210">
        <v>1</v>
      </c>
      <c r="O13" s="211">
        <f t="shared" si="13"/>
        <v>19800</v>
      </c>
      <c r="P13" s="208">
        <v>66000</v>
      </c>
      <c r="Q13" s="209"/>
      <c r="R13" s="210">
        <v>1</v>
      </c>
      <c r="S13" s="211">
        <f t="shared" si="19"/>
        <v>19800</v>
      </c>
      <c r="T13" s="208">
        <f>56571.43+7243.96</f>
        <v>63815.39</v>
      </c>
      <c r="U13" s="213">
        <v>7243.96</v>
      </c>
      <c r="V13" s="210">
        <v>1</v>
      </c>
      <c r="W13" s="211">
        <f t="shared" si="20"/>
        <v>19144.62</v>
      </c>
      <c r="X13" s="208">
        <v>66000</v>
      </c>
      <c r="Y13" s="213"/>
      <c r="Z13" s="210">
        <v>1</v>
      </c>
      <c r="AA13" s="211">
        <f t="shared" si="21"/>
        <v>19800</v>
      </c>
      <c r="AB13" s="429">
        <v>61427.85</v>
      </c>
      <c r="AC13" s="430">
        <v>28427.85</v>
      </c>
      <c r="AD13" s="431">
        <v>1</v>
      </c>
      <c r="AE13" s="432">
        <f t="shared" si="0"/>
        <v>18428.36</v>
      </c>
      <c r="AF13" s="429">
        <v>66000</v>
      </c>
      <c r="AG13" s="430"/>
      <c r="AH13" s="431">
        <v>1</v>
      </c>
      <c r="AI13" s="432">
        <f t="shared" si="1"/>
        <v>19800</v>
      </c>
      <c r="AJ13" s="450">
        <v>66000</v>
      </c>
      <c r="AK13" s="576"/>
      <c r="AL13" s="509">
        <v>1</v>
      </c>
      <c r="AM13" s="453">
        <f>(565243.24-512000)*10%+(66000-53243.24)*30%</f>
        <v>9151.35</v>
      </c>
      <c r="AN13" s="450">
        <v>77000</v>
      </c>
      <c r="AO13" s="430"/>
      <c r="AP13" s="431">
        <v>1</v>
      </c>
      <c r="AQ13" s="453">
        <f>AN13*10%</f>
        <v>7700</v>
      </c>
      <c r="AR13" s="450">
        <v>77000</v>
      </c>
      <c r="AS13" s="430"/>
      <c r="AT13" s="431">
        <v>1</v>
      </c>
      <c r="AU13" s="453">
        <f>AR13*10%</f>
        <v>7700</v>
      </c>
      <c r="AV13" s="450">
        <v>77000</v>
      </c>
      <c r="AW13" s="430"/>
      <c r="AX13" s="431">
        <v>1</v>
      </c>
      <c r="AY13" s="453">
        <f>AV13*10%</f>
        <v>7700</v>
      </c>
      <c r="AZ13" s="690">
        <f t="shared" si="14"/>
        <v>154</v>
      </c>
      <c r="BA13" s="691"/>
      <c r="BB13" s="691"/>
      <c r="BC13" s="693">
        <f>AV13*$BD$73</f>
        <v>154000</v>
      </c>
      <c r="BD13" s="694">
        <f>BC13*10.2%</f>
        <v>15708</v>
      </c>
      <c r="BE13" s="692">
        <f>AV13+BC13</f>
        <v>231000</v>
      </c>
      <c r="BF13" s="692">
        <f t="shared" si="15"/>
        <v>23562</v>
      </c>
      <c r="BG13" s="214">
        <f t="shared" si="16"/>
        <v>371815.39</v>
      </c>
      <c r="BH13" s="214">
        <f t="shared" si="17"/>
        <v>433243.24</v>
      </c>
      <c r="BI13" s="214">
        <f t="shared" si="18"/>
        <v>499243.24</v>
      </c>
      <c r="BJ13" s="454">
        <f t="shared" si="6"/>
        <v>565243.24</v>
      </c>
      <c r="BK13" s="454">
        <f t="shared" si="7"/>
        <v>642243.24</v>
      </c>
      <c r="BL13" s="454">
        <f t="shared" si="8"/>
        <v>719243.24</v>
      </c>
      <c r="BM13" s="454">
        <f t="shared" si="9"/>
        <v>796243.24</v>
      </c>
      <c r="BN13" s="214"/>
      <c r="BO13" s="214">
        <f t="shared" si="10"/>
        <v>-140184.60999999999</v>
      </c>
      <c r="BP13" s="214">
        <f t="shared" si="10"/>
        <v>-78756.759999999995</v>
      </c>
      <c r="BQ13" s="214">
        <f t="shared" si="10"/>
        <v>-12756.76</v>
      </c>
      <c r="BR13" s="455">
        <f t="shared" si="10"/>
        <v>53243.24</v>
      </c>
      <c r="BS13" s="455">
        <f t="shared" si="10"/>
        <v>130243.24</v>
      </c>
      <c r="BT13" s="455">
        <f t="shared" si="10"/>
        <v>207243.24</v>
      </c>
      <c r="BU13" s="455">
        <f t="shared" si="10"/>
        <v>284243.24</v>
      </c>
    </row>
    <row r="14" spans="1:73" s="215" customFormat="1" x14ac:dyDescent="0.2">
      <c r="A14" s="201">
        <v>9</v>
      </c>
      <c r="B14" s="202"/>
      <c r="C14" s="247" t="s">
        <v>129</v>
      </c>
      <c r="D14" s="248">
        <v>0</v>
      </c>
      <c r="E14" s="249"/>
      <c r="F14" s="250">
        <v>0</v>
      </c>
      <c r="G14" s="251">
        <f t="shared" si="11"/>
        <v>0</v>
      </c>
      <c r="H14" s="252">
        <v>0</v>
      </c>
      <c r="I14" s="253"/>
      <c r="J14" s="250">
        <v>0</v>
      </c>
      <c r="K14" s="254">
        <f t="shared" si="12"/>
        <v>0</v>
      </c>
      <c r="L14" s="252">
        <v>0</v>
      </c>
      <c r="M14" s="255"/>
      <c r="N14" s="250">
        <v>0</v>
      </c>
      <c r="O14" s="254">
        <f t="shared" si="13"/>
        <v>0</v>
      </c>
      <c r="P14" s="252"/>
      <c r="Q14" s="253"/>
      <c r="R14" s="250">
        <v>0</v>
      </c>
      <c r="S14" s="254">
        <f t="shared" si="19"/>
        <v>0</v>
      </c>
      <c r="T14" s="252"/>
      <c r="U14" s="256"/>
      <c r="V14" s="250">
        <v>0</v>
      </c>
      <c r="W14" s="254">
        <f t="shared" si="20"/>
        <v>0</v>
      </c>
      <c r="X14" s="252"/>
      <c r="Y14" s="256"/>
      <c r="Z14" s="250">
        <v>0</v>
      </c>
      <c r="AA14" s="254">
        <f t="shared" si="21"/>
        <v>0</v>
      </c>
      <c r="AB14" s="444"/>
      <c r="AC14" s="445"/>
      <c r="AD14" s="446">
        <v>0</v>
      </c>
      <c r="AE14" s="447">
        <f t="shared" si="0"/>
        <v>0</v>
      </c>
      <c r="AF14" s="444"/>
      <c r="AG14" s="445"/>
      <c r="AH14" s="446">
        <v>0</v>
      </c>
      <c r="AI14" s="447">
        <f t="shared" si="1"/>
        <v>0</v>
      </c>
      <c r="AJ14" s="444"/>
      <c r="AK14" s="445"/>
      <c r="AL14" s="446">
        <v>0</v>
      </c>
      <c r="AM14" s="447">
        <f t="shared" si="2"/>
        <v>0</v>
      </c>
      <c r="AN14" s="444"/>
      <c r="AO14" s="445"/>
      <c r="AP14" s="446">
        <v>0</v>
      </c>
      <c r="AQ14" s="447">
        <f t="shared" si="3"/>
        <v>0</v>
      </c>
      <c r="AR14" s="444"/>
      <c r="AS14" s="445"/>
      <c r="AT14" s="446">
        <v>0</v>
      </c>
      <c r="AU14" s="447">
        <f t="shared" ref="AU14:AU16" si="22">AR14*30%</f>
        <v>0</v>
      </c>
      <c r="AV14" s="444"/>
      <c r="AW14" s="445"/>
      <c r="AX14" s="446">
        <v>0</v>
      </c>
      <c r="AY14" s="447">
        <f t="shared" ref="AY14:AY16" si="23">AV14*30%</f>
        <v>0</v>
      </c>
      <c r="AZ14" s="690">
        <f t="shared" si="14"/>
        <v>0</v>
      </c>
      <c r="BA14" s="691"/>
      <c r="BB14" s="691"/>
      <c r="BC14" s="624"/>
      <c r="BD14" s="692"/>
      <c r="BE14" s="692"/>
      <c r="BF14" s="692">
        <f t="shared" si="15"/>
        <v>0</v>
      </c>
      <c r="BG14" s="214">
        <f t="shared" si="16"/>
        <v>0</v>
      </c>
      <c r="BH14" s="214">
        <f t="shared" si="17"/>
        <v>0</v>
      </c>
      <c r="BI14" s="214">
        <f t="shared" si="18"/>
        <v>0</v>
      </c>
      <c r="BJ14" s="214">
        <f t="shared" si="6"/>
        <v>0</v>
      </c>
      <c r="BK14" s="214">
        <f t="shared" si="7"/>
        <v>0</v>
      </c>
      <c r="BL14" s="214">
        <f t="shared" si="8"/>
        <v>0</v>
      </c>
      <c r="BM14" s="214">
        <f t="shared" si="9"/>
        <v>0</v>
      </c>
      <c r="BN14" s="214"/>
      <c r="BO14" s="214">
        <f t="shared" si="10"/>
        <v>-512000</v>
      </c>
      <c r="BP14" s="214">
        <f t="shared" si="10"/>
        <v>-512000</v>
      </c>
      <c r="BQ14" s="214">
        <f t="shared" si="10"/>
        <v>-512000</v>
      </c>
      <c r="BR14" s="214">
        <f t="shared" si="10"/>
        <v>-512000</v>
      </c>
      <c r="BS14" s="214">
        <f t="shared" si="10"/>
        <v>-512000</v>
      </c>
      <c r="BT14" s="214">
        <f t="shared" si="10"/>
        <v>-512000</v>
      </c>
      <c r="BU14" s="214">
        <f t="shared" si="10"/>
        <v>-512000</v>
      </c>
    </row>
    <row r="15" spans="1:73" s="215" customFormat="1" x14ac:dyDescent="0.2">
      <c r="A15" s="201">
        <v>10</v>
      </c>
      <c r="B15" s="202">
        <v>151</v>
      </c>
      <c r="C15" s="227" t="s">
        <v>130</v>
      </c>
      <c r="D15" s="228">
        <v>0</v>
      </c>
      <c r="E15" s="229"/>
      <c r="F15" s="230">
        <v>0</v>
      </c>
      <c r="G15" s="231">
        <f t="shared" si="11"/>
        <v>0</v>
      </c>
      <c r="H15" s="232">
        <v>0</v>
      </c>
      <c r="I15" s="233"/>
      <c r="J15" s="230">
        <v>0</v>
      </c>
      <c r="K15" s="234">
        <f t="shared" si="12"/>
        <v>0</v>
      </c>
      <c r="L15" s="208">
        <v>28285.72</v>
      </c>
      <c r="M15" s="212"/>
      <c r="N15" s="210">
        <f>26/31*0.5</f>
        <v>0.4194</v>
      </c>
      <c r="O15" s="234">
        <f t="shared" si="13"/>
        <v>8485.7199999999993</v>
      </c>
      <c r="P15" s="232">
        <v>33000</v>
      </c>
      <c r="Q15" s="233"/>
      <c r="R15" s="230">
        <v>0.5</v>
      </c>
      <c r="S15" s="234">
        <f t="shared" si="19"/>
        <v>9900</v>
      </c>
      <c r="T15" s="232">
        <v>33000</v>
      </c>
      <c r="U15" s="236"/>
      <c r="V15" s="230">
        <v>0.5</v>
      </c>
      <c r="W15" s="234">
        <f t="shared" si="20"/>
        <v>9900</v>
      </c>
      <c r="X15" s="232">
        <v>33000</v>
      </c>
      <c r="Y15" s="236"/>
      <c r="Z15" s="230">
        <v>0.5</v>
      </c>
      <c r="AA15" s="234">
        <f t="shared" si="21"/>
        <v>9900</v>
      </c>
      <c r="AB15" s="448">
        <v>33000</v>
      </c>
      <c r="AC15" s="437"/>
      <c r="AD15" s="438">
        <v>0.5</v>
      </c>
      <c r="AE15" s="449">
        <f t="shared" si="0"/>
        <v>9900</v>
      </c>
      <c r="AF15" s="448">
        <v>33000</v>
      </c>
      <c r="AG15" s="437"/>
      <c r="AH15" s="438">
        <v>0.5</v>
      </c>
      <c r="AI15" s="449">
        <f t="shared" si="1"/>
        <v>9900</v>
      </c>
      <c r="AJ15" s="448">
        <v>33000</v>
      </c>
      <c r="AK15" s="437"/>
      <c r="AL15" s="438">
        <v>0.5</v>
      </c>
      <c r="AM15" s="449">
        <f t="shared" si="2"/>
        <v>9900</v>
      </c>
      <c r="AN15" s="448">
        <v>37517.31</v>
      </c>
      <c r="AO15" s="437">
        <v>15756.44</v>
      </c>
      <c r="AP15" s="438">
        <v>0.5</v>
      </c>
      <c r="AQ15" s="449">
        <f t="shared" si="3"/>
        <v>11255.19</v>
      </c>
      <c r="AR15" s="448">
        <v>38500</v>
      </c>
      <c r="AS15" s="437"/>
      <c r="AT15" s="438">
        <v>0.5</v>
      </c>
      <c r="AU15" s="449">
        <f t="shared" si="22"/>
        <v>11550</v>
      </c>
      <c r="AV15" s="448">
        <v>38500</v>
      </c>
      <c r="AW15" s="437"/>
      <c r="AX15" s="438">
        <v>0.5</v>
      </c>
      <c r="AY15" s="449">
        <f t="shared" si="23"/>
        <v>11550</v>
      </c>
      <c r="AZ15" s="690">
        <f t="shared" si="14"/>
        <v>77</v>
      </c>
      <c r="BA15" s="691"/>
      <c r="BB15" s="691"/>
      <c r="BC15" s="624"/>
      <c r="BD15" s="692"/>
      <c r="BE15" s="692">
        <f t="shared" ref="BE15:BE24" si="24">AV15+BC15</f>
        <v>38500</v>
      </c>
      <c r="BF15" s="692">
        <f t="shared" si="15"/>
        <v>11627</v>
      </c>
      <c r="BG15" s="214">
        <f t="shared" si="16"/>
        <v>127285.72</v>
      </c>
      <c r="BH15" s="214">
        <f t="shared" si="17"/>
        <v>160285.72</v>
      </c>
      <c r="BI15" s="214">
        <f t="shared" si="18"/>
        <v>193285.72</v>
      </c>
      <c r="BJ15" s="214">
        <f t="shared" si="6"/>
        <v>226285.72</v>
      </c>
      <c r="BK15" s="214">
        <f t="shared" si="7"/>
        <v>263803.03000000003</v>
      </c>
      <c r="BL15" s="214">
        <f t="shared" si="8"/>
        <v>302303.03000000003</v>
      </c>
      <c r="BM15" s="214">
        <f t="shared" si="9"/>
        <v>340803.03</v>
      </c>
      <c r="BN15" s="214"/>
      <c r="BO15" s="214">
        <f t="shared" si="10"/>
        <v>-384714.28</v>
      </c>
      <c r="BP15" s="214">
        <f t="shared" si="10"/>
        <v>-351714.28</v>
      </c>
      <c r="BQ15" s="214">
        <f t="shared" si="10"/>
        <v>-318714.28000000003</v>
      </c>
      <c r="BR15" s="214">
        <f t="shared" si="10"/>
        <v>-285714.28000000003</v>
      </c>
      <c r="BS15" s="214">
        <f t="shared" si="10"/>
        <v>-248196.97</v>
      </c>
      <c r="BT15" s="214">
        <f t="shared" si="10"/>
        <v>-209696.97</v>
      </c>
      <c r="BU15" s="214">
        <f t="shared" si="10"/>
        <v>-171196.97</v>
      </c>
    </row>
    <row r="16" spans="1:73" s="215" customFormat="1" x14ac:dyDescent="0.2">
      <c r="A16" s="201">
        <v>12</v>
      </c>
      <c r="B16" s="202">
        <v>158</v>
      </c>
      <c r="C16" s="227" t="s">
        <v>286</v>
      </c>
      <c r="D16" s="228"/>
      <c r="E16" s="229"/>
      <c r="F16" s="230"/>
      <c r="G16" s="231"/>
      <c r="H16" s="232"/>
      <c r="I16" s="233"/>
      <c r="J16" s="230"/>
      <c r="K16" s="234"/>
      <c r="L16" s="208"/>
      <c r="M16" s="212"/>
      <c r="N16" s="210"/>
      <c r="O16" s="234"/>
      <c r="P16" s="232"/>
      <c r="Q16" s="233"/>
      <c r="R16" s="230"/>
      <c r="S16" s="234"/>
      <c r="T16" s="232"/>
      <c r="U16" s="236"/>
      <c r="V16" s="230"/>
      <c r="W16" s="234"/>
      <c r="X16" s="232"/>
      <c r="Y16" s="236"/>
      <c r="Z16" s="230"/>
      <c r="AA16" s="234"/>
      <c r="AB16" s="448"/>
      <c r="AC16" s="437"/>
      <c r="AD16" s="438"/>
      <c r="AE16" s="449"/>
      <c r="AF16" s="448"/>
      <c r="AG16" s="437"/>
      <c r="AH16" s="438"/>
      <c r="AI16" s="449"/>
      <c r="AJ16" s="448">
        <v>22500</v>
      </c>
      <c r="AK16" s="437"/>
      <c r="AL16" s="438">
        <v>0.5</v>
      </c>
      <c r="AM16" s="449">
        <f>AJ16*30%</f>
        <v>6750</v>
      </c>
      <c r="AN16" s="448">
        <v>22500</v>
      </c>
      <c r="AO16" s="437"/>
      <c r="AP16" s="438">
        <v>0.5</v>
      </c>
      <c r="AQ16" s="449">
        <f t="shared" si="3"/>
        <v>6750</v>
      </c>
      <c r="AR16" s="448">
        <v>22500</v>
      </c>
      <c r="AS16" s="437"/>
      <c r="AT16" s="438">
        <v>0.5</v>
      </c>
      <c r="AU16" s="449">
        <f t="shared" si="22"/>
        <v>6750</v>
      </c>
      <c r="AV16" s="448">
        <v>22500</v>
      </c>
      <c r="AW16" s="437"/>
      <c r="AX16" s="438">
        <v>0.5</v>
      </c>
      <c r="AY16" s="449">
        <f t="shared" si="23"/>
        <v>6750</v>
      </c>
      <c r="AZ16" s="690">
        <f t="shared" si="14"/>
        <v>45</v>
      </c>
      <c r="BA16" s="691"/>
      <c r="BB16" s="691"/>
      <c r="BC16" s="624"/>
      <c r="BD16" s="692"/>
      <c r="BE16" s="692">
        <f t="shared" si="24"/>
        <v>22500</v>
      </c>
      <c r="BF16" s="692">
        <f t="shared" si="15"/>
        <v>6795</v>
      </c>
      <c r="BJ16" s="214">
        <f t="shared" si="6"/>
        <v>22500</v>
      </c>
      <c r="BK16" s="214">
        <f t="shared" si="7"/>
        <v>45000</v>
      </c>
      <c r="BL16" s="214">
        <f t="shared" si="8"/>
        <v>67500</v>
      </c>
      <c r="BM16" s="214">
        <f t="shared" si="9"/>
        <v>90000</v>
      </c>
      <c r="BR16" s="214">
        <f t="shared" si="10"/>
        <v>-489500</v>
      </c>
      <c r="BS16" s="214">
        <f t="shared" si="10"/>
        <v>-467000</v>
      </c>
      <c r="BT16" s="214">
        <f t="shared" si="10"/>
        <v>-444500</v>
      </c>
      <c r="BU16" s="214">
        <f t="shared" si="10"/>
        <v>-422000</v>
      </c>
    </row>
    <row r="17" spans="1:73" s="215" customFormat="1" x14ac:dyDescent="0.2">
      <c r="A17" s="201">
        <v>11</v>
      </c>
      <c r="B17" s="202">
        <v>43</v>
      </c>
      <c r="C17" s="257" t="s">
        <v>131</v>
      </c>
      <c r="D17" s="217">
        <v>35000</v>
      </c>
      <c r="E17" s="218"/>
      <c r="F17" s="219">
        <v>0.5</v>
      </c>
      <c r="G17" s="220">
        <f t="shared" si="11"/>
        <v>10500</v>
      </c>
      <c r="H17" s="258">
        <v>90000</v>
      </c>
      <c r="I17" s="259"/>
      <c r="J17" s="219">
        <v>1</v>
      </c>
      <c r="K17" s="260">
        <f t="shared" si="12"/>
        <v>27000</v>
      </c>
      <c r="L17" s="258">
        <f>53412.52+4285.71</f>
        <v>57698.23</v>
      </c>
      <c r="M17" s="261">
        <v>53412.52</v>
      </c>
      <c r="N17" s="219">
        <v>1</v>
      </c>
      <c r="O17" s="260">
        <f t="shared" si="13"/>
        <v>17309.47</v>
      </c>
      <c r="P17" s="258">
        <v>90000</v>
      </c>
      <c r="Q17" s="259"/>
      <c r="R17" s="219">
        <v>1</v>
      </c>
      <c r="S17" s="260">
        <f t="shared" si="19"/>
        <v>27000</v>
      </c>
      <c r="T17" s="258">
        <v>90000</v>
      </c>
      <c r="U17" s="262"/>
      <c r="V17" s="219">
        <v>1</v>
      </c>
      <c r="W17" s="260">
        <f t="shared" si="20"/>
        <v>27000</v>
      </c>
      <c r="X17" s="258">
        <v>90000</v>
      </c>
      <c r="Y17" s="262"/>
      <c r="Z17" s="219">
        <v>1</v>
      </c>
      <c r="AA17" s="260">
        <f t="shared" si="21"/>
        <v>27000</v>
      </c>
      <c r="AB17" s="450">
        <v>90000</v>
      </c>
      <c r="AC17" s="451"/>
      <c r="AD17" s="452">
        <v>1</v>
      </c>
      <c r="AE17" s="453">
        <f>(542698.23-512000)*10%+(90000-30698.23)*30%</f>
        <v>20860.349999999999</v>
      </c>
      <c r="AF17" s="450">
        <v>90000</v>
      </c>
      <c r="AG17" s="451"/>
      <c r="AH17" s="452">
        <v>1</v>
      </c>
      <c r="AI17" s="453">
        <f>AF17*10%</f>
        <v>9000</v>
      </c>
      <c r="AJ17" s="450">
        <v>90000</v>
      </c>
      <c r="AK17" s="451"/>
      <c r="AL17" s="452">
        <v>1</v>
      </c>
      <c r="AM17" s="453">
        <f>AJ17*10%</f>
        <v>9000</v>
      </c>
      <c r="AN17" s="450">
        <v>95000</v>
      </c>
      <c r="AO17" s="451"/>
      <c r="AP17" s="452">
        <v>1</v>
      </c>
      <c r="AQ17" s="453">
        <f>AN17*10%</f>
        <v>9500</v>
      </c>
      <c r="AR17" s="450">
        <v>95000</v>
      </c>
      <c r="AS17" s="451"/>
      <c r="AT17" s="452">
        <v>1</v>
      </c>
      <c r="AU17" s="453">
        <f>AR17*10%</f>
        <v>9500</v>
      </c>
      <c r="AV17" s="450">
        <v>95000</v>
      </c>
      <c r="AW17" s="451"/>
      <c r="AX17" s="452">
        <v>1</v>
      </c>
      <c r="AY17" s="453">
        <f>AV17*10%</f>
        <v>9500</v>
      </c>
      <c r="AZ17" s="690">
        <f t="shared" si="14"/>
        <v>190</v>
      </c>
      <c r="BA17" s="691"/>
      <c r="BB17" s="691"/>
      <c r="BC17" s="695">
        <f>AV17*$BD$73</f>
        <v>190000</v>
      </c>
      <c r="BD17" s="696">
        <f>BC17*10.2%</f>
        <v>19380</v>
      </c>
      <c r="BE17" s="692">
        <f t="shared" si="24"/>
        <v>285000</v>
      </c>
      <c r="BF17" s="692">
        <f t="shared" si="15"/>
        <v>29070</v>
      </c>
      <c r="BG17" s="214">
        <f t="shared" si="16"/>
        <v>452698.23</v>
      </c>
      <c r="BH17" s="454">
        <f>BG17+AB17</f>
        <v>542698.23</v>
      </c>
      <c r="BI17" s="454">
        <f>BH17+AF17</f>
        <v>632698.23</v>
      </c>
      <c r="BJ17" s="454">
        <f t="shared" si="6"/>
        <v>722698.23</v>
      </c>
      <c r="BK17" s="454">
        <f t="shared" si="7"/>
        <v>817698.23</v>
      </c>
      <c r="BL17" s="454">
        <f t="shared" si="8"/>
        <v>912698.23</v>
      </c>
      <c r="BM17" s="454">
        <f t="shared" si="9"/>
        <v>1007698.23</v>
      </c>
      <c r="BN17" s="214"/>
      <c r="BO17" s="214">
        <f t="shared" si="10"/>
        <v>-59301.77</v>
      </c>
      <c r="BP17" s="455">
        <f t="shared" si="10"/>
        <v>30698.23</v>
      </c>
      <c r="BQ17" s="455">
        <f t="shared" si="10"/>
        <v>120698.23</v>
      </c>
      <c r="BR17" s="455">
        <f t="shared" si="10"/>
        <v>210698.23</v>
      </c>
      <c r="BS17" s="455">
        <f t="shared" si="10"/>
        <v>305698.23</v>
      </c>
      <c r="BT17" s="455">
        <f t="shared" si="10"/>
        <v>400698.23</v>
      </c>
      <c r="BU17" s="455">
        <f t="shared" si="10"/>
        <v>495698.23</v>
      </c>
    </row>
    <row r="18" spans="1:73" s="593" customFormat="1" x14ac:dyDescent="0.2">
      <c r="A18" s="577"/>
      <c r="B18" s="578">
        <v>156</v>
      </c>
      <c r="C18" s="579" t="s">
        <v>287</v>
      </c>
      <c r="D18" s="580"/>
      <c r="E18" s="581"/>
      <c r="F18" s="582"/>
      <c r="G18" s="583"/>
      <c r="H18" s="584"/>
      <c r="I18" s="585"/>
      <c r="J18" s="582"/>
      <c r="K18" s="586"/>
      <c r="L18" s="584"/>
      <c r="M18" s="587"/>
      <c r="N18" s="582"/>
      <c r="O18" s="586"/>
      <c r="P18" s="584"/>
      <c r="Q18" s="585"/>
      <c r="R18" s="582"/>
      <c r="S18" s="586"/>
      <c r="T18" s="584"/>
      <c r="U18" s="588"/>
      <c r="V18" s="582"/>
      <c r="W18" s="586"/>
      <c r="X18" s="584"/>
      <c r="Y18" s="588"/>
      <c r="Z18" s="582"/>
      <c r="AA18" s="586"/>
      <c r="AB18" s="507"/>
      <c r="AC18" s="576"/>
      <c r="AD18" s="509"/>
      <c r="AE18" s="589"/>
      <c r="AF18" s="507"/>
      <c r="AG18" s="576"/>
      <c r="AH18" s="509"/>
      <c r="AI18" s="589"/>
      <c r="AJ18" s="507">
        <v>50000</v>
      </c>
      <c r="AK18" s="576"/>
      <c r="AL18" s="509">
        <v>1</v>
      </c>
      <c r="AM18" s="589">
        <f>AJ18*30%</f>
        <v>15000</v>
      </c>
      <c r="AN18" s="507">
        <v>50000</v>
      </c>
      <c r="AO18" s="576"/>
      <c r="AP18" s="509">
        <v>1</v>
      </c>
      <c r="AQ18" s="589">
        <f>AN18*30%</f>
        <v>15000</v>
      </c>
      <c r="AR18" s="507">
        <v>50000</v>
      </c>
      <c r="AS18" s="576"/>
      <c r="AT18" s="509">
        <v>1</v>
      </c>
      <c r="AU18" s="589">
        <f>AR18*30%</f>
        <v>15000</v>
      </c>
      <c r="AV18" s="507">
        <v>50000</v>
      </c>
      <c r="AW18" s="576"/>
      <c r="AX18" s="509">
        <v>1</v>
      </c>
      <c r="AY18" s="589">
        <f>AV18*30%</f>
        <v>15000</v>
      </c>
      <c r="AZ18" s="690">
        <f t="shared" si="14"/>
        <v>100</v>
      </c>
      <c r="BA18" s="691"/>
      <c r="BB18" s="691"/>
      <c r="BC18" s="624"/>
      <c r="BD18" s="692"/>
      <c r="BE18" s="692">
        <f t="shared" si="24"/>
        <v>50000</v>
      </c>
      <c r="BF18" s="692">
        <f t="shared" si="15"/>
        <v>15100</v>
      </c>
      <c r="BG18" s="591"/>
      <c r="BH18" s="591"/>
      <c r="BI18" s="591"/>
      <c r="BJ18" s="214">
        <f t="shared" si="6"/>
        <v>50000</v>
      </c>
      <c r="BK18" s="214">
        <f t="shared" si="7"/>
        <v>100000</v>
      </c>
      <c r="BL18" s="214">
        <f t="shared" si="8"/>
        <v>150000</v>
      </c>
      <c r="BM18" s="214">
        <f t="shared" si="9"/>
        <v>200000</v>
      </c>
      <c r="BN18" s="591"/>
      <c r="BO18" s="591"/>
      <c r="BP18" s="592"/>
      <c r="BQ18" s="592"/>
      <c r="BR18" s="214">
        <f t="shared" si="10"/>
        <v>-462000</v>
      </c>
      <c r="BS18" s="214">
        <f t="shared" si="10"/>
        <v>-412000</v>
      </c>
      <c r="BT18" s="214">
        <f t="shared" si="10"/>
        <v>-362000</v>
      </c>
      <c r="BU18" s="214">
        <f t="shared" si="10"/>
        <v>-312000</v>
      </c>
    </row>
    <row r="19" spans="1:73" s="215" customFormat="1" x14ac:dyDescent="0.2">
      <c r="A19" s="201">
        <v>12</v>
      </c>
      <c r="B19" s="202">
        <v>127</v>
      </c>
      <c r="C19" s="237" t="s">
        <v>132</v>
      </c>
      <c r="D19" s="238">
        <v>22500</v>
      </c>
      <c r="E19" s="239"/>
      <c r="F19" s="240">
        <v>0.5</v>
      </c>
      <c r="G19" s="241">
        <f t="shared" si="11"/>
        <v>6750</v>
      </c>
      <c r="H19" s="242">
        <v>27000</v>
      </c>
      <c r="I19" s="243"/>
      <c r="J19" s="240">
        <v>0.5</v>
      </c>
      <c r="K19" s="244">
        <f t="shared" si="12"/>
        <v>8100</v>
      </c>
      <c r="L19" s="242">
        <f>1285.71+21818.16</f>
        <v>23103.87</v>
      </c>
      <c r="M19" s="245">
        <v>21818.16</v>
      </c>
      <c r="N19" s="240">
        <v>0.5</v>
      </c>
      <c r="O19" s="244">
        <f t="shared" si="13"/>
        <v>6931.16</v>
      </c>
      <c r="P19" s="242">
        <v>27000</v>
      </c>
      <c r="Q19" s="243"/>
      <c r="R19" s="240">
        <v>0.5</v>
      </c>
      <c r="S19" s="244">
        <f t="shared" si="19"/>
        <v>8100</v>
      </c>
      <c r="T19" s="242">
        <v>27000</v>
      </c>
      <c r="U19" s="246"/>
      <c r="V19" s="240">
        <v>0.5</v>
      </c>
      <c r="W19" s="244">
        <f t="shared" si="20"/>
        <v>8100</v>
      </c>
      <c r="X19" s="242">
        <v>27000</v>
      </c>
      <c r="Y19" s="246"/>
      <c r="Z19" s="240">
        <v>0.5</v>
      </c>
      <c r="AA19" s="244">
        <f t="shared" si="21"/>
        <v>8100</v>
      </c>
      <c r="AB19" s="439">
        <v>27000</v>
      </c>
      <c r="AC19" s="440"/>
      <c r="AD19" s="441">
        <v>0.5</v>
      </c>
      <c r="AE19" s="442">
        <f t="shared" si="0"/>
        <v>8100</v>
      </c>
      <c r="AF19" s="439">
        <v>27000</v>
      </c>
      <c r="AG19" s="440"/>
      <c r="AH19" s="441">
        <v>0.5</v>
      </c>
      <c r="AI19" s="442">
        <f t="shared" ref="AI19:AI25" si="25">AF19*30%</f>
        <v>8100</v>
      </c>
      <c r="AJ19" s="439">
        <v>27000</v>
      </c>
      <c r="AK19" s="440"/>
      <c r="AL19" s="441">
        <v>0.5</v>
      </c>
      <c r="AM19" s="442">
        <f t="shared" ref="AM19:AM27" si="26">AJ19*30%</f>
        <v>8100</v>
      </c>
      <c r="AN19" s="439">
        <v>27000</v>
      </c>
      <c r="AO19" s="440"/>
      <c r="AP19" s="441">
        <v>0.5</v>
      </c>
      <c r="AQ19" s="442">
        <f t="shared" ref="AQ19:AQ27" si="27">AN19*30%</f>
        <v>8100</v>
      </c>
      <c r="AR19" s="439">
        <v>27000</v>
      </c>
      <c r="AS19" s="440"/>
      <c r="AT19" s="441">
        <v>0.5</v>
      </c>
      <c r="AU19" s="442">
        <f t="shared" ref="AU19:AU27" si="28">AR19*30%</f>
        <v>8100</v>
      </c>
      <c r="AV19" s="439">
        <v>27000</v>
      </c>
      <c r="AW19" s="440"/>
      <c r="AX19" s="441">
        <v>0.5</v>
      </c>
      <c r="AY19" s="442">
        <f t="shared" ref="AY19:AY27" si="29">AV19*30%</f>
        <v>8100</v>
      </c>
      <c r="AZ19" s="690">
        <f t="shared" si="14"/>
        <v>54</v>
      </c>
      <c r="BA19" s="691"/>
      <c r="BB19" s="691"/>
      <c r="BC19" s="624"/>
      <c r="BD19" s="692"/>
      <c r="BE19" s="692">
        <f t="shared" si="24"/>
        <v>27000</v>
      </c>
      <c r="BF19" s="692">
        <f t="shared" si="15"/>
        <v>8154</v>
      </c>
      <c r="BG19" s="214">
        <f t="shared" si="16"/>
        <v>153603.87</v>
      </c>
      <c r="BH19" s="214">
        <f>BG19+AB19</f>
        <v>180603.87</v>
      </c>
      <c r="BI19" s="214">
        <f>BH19+AF19</f>
        <v>207603.87</v>
      </c>
      <c r="BJ19" s="214">
        <f t="shared" si="6"/>
        <v>234603.87</v>
      </c>
      <c r="BK19" s="214">
        <f t="shared" si="7"/>
        <v>261603.87</v>
      </c>
      <c r="BL19" s="214">
        <f t="shared" si="8"/>
        <v>288603.87</v>
      </c>
      <c r="BM19" s="214">
        <f t="shared" si="9"/>
        <v>315603.87</v>
      </c>
      <c r="BN19" s="214"/>
      <c r="BO19" s="214">
        <f t="shared" si="10"/>
        <v>-358396.13</v>
      </c>
      <c r="BP19" s="214">
        <f t="shared" si="10"/>
        <v>-331396.13</v>
      </c>
      <c r="BQ19" s="214">
        <f t="shared" si="10"/>
        <v>-304396.13</v>
      </c>
      <c r="BR19" s="214">
        <f t="shared" si="10"/>
        <v>-277396.13</v>
      </c>
      <c r="BS19" s="214">
        <f t="shared" si="10"/>
        <v>-250396.13</v>
      </c>
      <c r="BT19" s="214">
        <f t="shared" si="10"/>
        <v>-223396.13</v>
      </c>
      <c r="BU19" s="214">
        <f t="shared" si="10"/>
        <v>-196396.13</v>
      </c>
    </row>
    <row r="20" spans="1:73" s="593" customFormat="1" x14ac:dyDescent="0.2">
      <c r="A20" s="201">
        <v>16</v>
      </c>
      <c r="B20" s="578">
        <v>157</v>
      </c>
      <c r="C20" s="579" t="s">
        <v>288</v>
      </c>
      <c r="D20" s="580"/>
      <c r="E20" s="581"/>
      <c r="F20" s="582"/>
      <c r="G20" s="583"/>
      <c r="H20" s="584"/>
      <c r="I20" s="585"/>
      <c r="J20" s="582"/>
      <c r="K20" s="586"/>
      <c r="L20" s="584"/>
      <c r="M20" s="587"/>
      <c r="N20" s="582"/>
      <c r="O20" s="586"/>
      <c r="P20" s="584"/>
      <c r="Q20" s="585"/>
      <c r="R20" s="582"/>
      <c r="S20" s="586"/>
      <c r="T20" s="584"/>
      <c r="U20" s="588"/>
      <c r="V20" s="582"/>
      <c r="W20" s="586"/>
      <c r="X20" s="584"/>
      <c r="Y20" s="588"/>
      <c r="Z20" s="582"/>
      <c r="AA20" s="586"/>
      <c r="AB20" s="507"/>
      <c r="AC20" s="576"/>
      <c r="AD20" s="509"/>
      <c r="AE20" s="589"/>
      <c r="AF20" s="507"/>
      <c r="AG20" s="576"/>
      <c r="AH20" s="509"/>
      <c r="AI20" s="589"/>
      <c r="AJ20" s="507">
        <v>25000</v>
      </c>
      <c r="AK20" s="576"/>
      <c r="AL20" s="509">
        <v>0.5</v>
      </c>
      <c r="AM20" s="589">
        <f t="shared" si="26"/>
        <v>7500</v>
      </c>
      <c r="AN20" s="507">
        <v>25000</v>
      </c>
      <c r="AO20" s="576"/>
      <c r="AP20" s="509">
        <v>0.5</v>
      </c>
      <c r="AQ20" s="589">
        <f t="shared" si="27"/>
        <v>7500</v>
      </c>
      <c r="AR20" s="507">
        <v>25000</v>
      </c>
      <c r="AS20" s="576"/>
      <c r="AT20" s="509">
        <v>0.5</v>
      </c>
      <c r="AU20" s="589">
        <f t="shared" si="28"/>
        <v>7500</v>
      </c>
      <c r="AV20" s="507">
        <v>25000</v>
      </c>
      <c r="AW20" s="576"/>
      <c r="AX20" s="509">
        <v>0.5</v>
      </c>
      <c r="AY20" s="589">
        <f t="shared" si="29"/>
        <v>7500</v>
      </c>
      <c r="AZ20" s="690">
        <f t="shared" si="14"/>
        <v>50</v>
      </c>
      <c r="BA20" s="691"/>
      <c r="BB20" s="691"/>
      <c r="BC20" s="624"/>
      <c r="BD20" s="692"/>
      <c r="BE20" s="692">
        <f t="shared" si="24"/>
        <v>25000</v>
      </c>
      <c r="BF20" s="692">
        <f t="shared" si="15"/>
        <v>7550</v>
      </c>
      <c r="BJ20" s="214">
        <f t="shared" si="6"/>
        <v>25000</v>
      </c>
      <c r="BK20" s="214">
        <f t="shared" si="7"/>
        <v>50000</v>
      </c>
      <c r="BL20" s="214">
        <f t="shared" si="8"/>
        <v>75000</v>
      </c>
      <c r="BM20" s="214">
        <f t="shared" si="9"/>
        <v>100000</v>
      </c>
      <c r="BR20" s="214">
        <f t="shared" si="10"/>
        <v>-487000</v>
      </c>
      <c r="BS20" s="214">
        <f t="shared" si="10"/>
        <v>-462000</v>
      </c>
      <c r="BT20" s="214">
        <f t="shared" si="10"/>
        <v>-437000</v>
      </c>
      <c r="BU20" s="214">
        <f t="shared" si="10"/>
        <v>-412000</v>
      </c>
    </row>
    <row r="21" spans="1:73" s="215" customFormat="1" x14ac:dyDescent="0.2">
      <c r="A21" s="201">
        <v>13</v>
      </c>
      <c r="B21" s="202">
        <v>116</v>
      </c>
      <c r="C21" s="203" t="s">
        <v>133</v>
      </c>
      <c r="D21" s="204">
        <v>22000</v>
      </c>
      <c r="E21" s="205"/>
      <c r="F21" s="206">
        <v>0.5</v>
      </c>
      <c r="G21" s="207">
        <f t="shared" si="11"/>
        <v>6600</v>
      </c>
      <c r="H21" s="208">
        <v>33000</v>
      </c>
      <c r="I21" s="209"/>
      <c r="J21" s="210">
        <v>0.5</v>
      </c>
      <c r="K21" s="211">
        <f t="shared" si="12"/>
        <v>9900</v>
      </c>
      <c r="L21" s="208">
        <f>1571.43+35134.4</f>
        <v>36705.83</v>
      </c>
      <c r="M21" s="212">
        <v>35134.400000000001</v>
      </c>
      <c r="N21" s="210">
        <v>0.5</v>
      </c>
      <c r="O21" s="211">
        <f t="shared" si="13"/>
        <v>11011.75</v>
      </c>
      <c r="P21" s="208">
        <v>33000</v>
      </c>
      <c r="Q21" s="209"/>
      <c r="R21" s="210">
        <v>0.5</v>
      </c>
      <c r="S21" s="211">
        <f t="shared" si="19"/>
        <v>9900</v>
      </c>
      <c r="T21" s="208">
        <v>33000</v>
      </c>
      <c r="U21" s="213"/>
      <c r="V21" s="210">
        <v>0.5</v>
      </c>
      <c r="W21" s="211">
        <f t="shared" si="20"/>
        <v>9900</v>
      </c>
      <c r="X21" s="208">
        <v>33000</v>
      </c>
      <c r="Y21" s="213"/>
      <c r="Z21" s="210">
        <v>0.5</v>
      </c>
      <c r="AA21" s="211">
        <f t="shared" si="21"/>
        <v>9900</v>
      </c>
      <c r="AB21" s="429">
        <v>33000</v>
      </c>
      <c r="AC21" s="430"/>
      <c r="AD21" s="431">
        <v>0.5</v>
      </c>
      <c r="AE21" s="432">
        <f t="shared" si="0"/>
        <v>9900</v>
      </c>
      <c r="AF21" s="429">
        <v>33000</v>
      </c>
      <c r="AG21" s="430"/>
      <c r="AH21" s="431">
        <v>0.5</v>
      </c>
      <c r="AI21" s="432">
        <f t="shared" si="25"/>
        <v>9900</v>
      </c>
      <c r="AJ21" s="429">
        <v>33000</v>
      </c>
      <c r="AK21" s="430"/>
      <c r="AL21" s="431">
        <v>0.5</v>
      </c>
      <c r="AM21" s="432">
        <f t="shared" si="26"/>
        <v>9900</v>
      </c>
      <c r="AN21" s="429">
        <v>38500</v>
      </c>
      <c r="AO21" s="430"/>
      <c r="AP21" s="431">
        <v>0.5</v>
      </c>
      <c r="AQ21" s="432">
        <f t="shared" si="27"/>
        <v>11550</v>
      </c>
      <c r="AR21" s="429">
        <v>38500</v>
      </c>
      <c r="AS21" s="430"/>
      <c r="AT21" s="431">
        <v>0.5</v>
      </c>
      <c r="AU21" s="432">
        <f t="shared" si="28"/>
        <v>11550</v>
      </c>
      <c r="AV21" s="429">
        <v>38500</v>
      </c>
      <c r="AW21" s="430"/>
      <c r="AX21" s="431">
        <v>0.5</v>
      </c>
      <c r="AY21" s="432">
        <f t="shared" si="29"/>
        <v>11550</v>
      </c>
      <c r="AZ21" s="690">
        <f t="shared" si="14"/>
        <v>77</v>
      </c>
      <c r="BA21" s="691"/>
      <c r="BB21" s="691"/>
      <c r="BC21" s="624"/>
      <c r="BD21" s="692"/>
      <c r="BE21" s="692">
        <f t="shared" si="24"/>
        <v>38500</v>
      </c>
      <c r="BF21" s="692">
        <f t="shared" si="15"/>
        <v>11627</v>
      </c>
      <c r="BG21" s="214">
        <f t="shared" si="16"/>
        <v>190705.83</v>
      </c>
      <c r="BH21" s="214">
        <f>BG21+AB21</f>
        <v>223705.83</v>
      </c>
      <c r="BI21" s="214">
        <f>BH21+AF21</f>
        <v>256705.83</v>
      </c>
      <c r="BJ21" s="214">
        <f t="shared" si="6"/>
        <v>289705.83</v>
      </c>
      <c r="BK21" s="214">
        <f t="shared" si="7"/>
        <v>328205.83</v>
      </c>
      <c r="BL21" s="214">
        <f t="shared" si="8"/>
        <v>366705.83</v>
      </c>
      <c r="BM21" s="214">
        <f t="shared" si="9"/>
        <v>405205.83</v>
      </c>
      <c r="BN21" s="214"/>
      <c r="BO21" s="214">
        <f t="shared" ref="BO21:BU60" si="30">BG21-512000</f>
        <v>-321294.17</v>
      </c>
      <c r="BP21" s="214">
        <f t="shared" si="30"/>
        <v>-288294.17</v>
      </c>
      <c r="BQ21" s="214">
        <f t="shared" si="30"/>
        <v>-255294.17</v>
      </c>
      <c r="BR21" s="214">
        <f t="shared" si="30"/>
        <v>-222294.17</v>
      </c>
      <c r="BS21" s="214">
        <f t="shared" si="30"/>
        <v>-183794.17</v>
      </c>
      <c r="BT21" s="214">
        <f t="shared" si="30"/>
        <v>-145294.17000000001</v>
      </c>
      <c r="BU21" s="214">
        <f t="shared" si="30"/>
        <v>-106794.17</v>
      </c>
    </row>
    <row r="22" spans="1:73" s="215" customFormat="1" x14ac:dyDescent="0.2">
      <c r="A22" s="201"/>
      <c r="B22" s="202">
        <v>151</v>
      </c>
      <c r="C22" s="203" t="s">
        <v>205</v>
      </c>
      <c r="D22" s="204"/>
      <c r="E22" s="205"/>
      <c r="F22" s="206"/>
      <c r="G22" s="207"/>
      <c r="H22" s="208"/>
      <c r="I22" s="209"/>
      <c r="J22" s="210"/>
      <c r="K22" s="211"/>
      <c r="L22" s="208"/>
      <c r="M22" s="212"/>
      <c r="N22" s="210"/>
      <c r="O22" s="211"/>
      <c r="P22" s="208"/>
      <c r="Q22" s="209"/>
      <c r="R22" s="210"/>
      <c r="S22" s="211"/>
      <c r="T22" s="208"/>
      <c r="U22" s="213"/>
      <c r="V22" s="210"/>
      <c r="W22" s="211"/>
      <c r="X22" s="208">
        <v>25000</v>
      </c>
      <c r="Y22" s="213"/>
      <c r="Z22" s="210">
        <v>1</v>
      </c>
      <c r="AA22" s="211">
        <f t="shared" si="21"/>
        <v>7500</v>
      </c>
      <c r="AB22" s="208">
        <v>25000</v>
      </c>
      <c r="AC22" s="213"/>
      <c r="AD22" s="210">
        <v>1</v>
      </c>
      <c r="AE22" s="211">
        <f t="shared" si="0"/>
        <v>7500</v>
      </c>
      <c r="AF22" s="208">
        <v>25000</v>
      </c>
      <c r="AG22" s="213"/>
      <c r="AH22" s="210">
        <v>1</v>
      </c>
      <c r="AI22" s="211">
        <f t="shared" si="25"/>
        <v>7500</v>
      </c>
      <c r="AJ22" s="208">
        <v>25000</v>
      </c>
      <c r="AK22" s="213"/>
      <c r="AL22" s="210">
        <v>1</v>
      </c>
      <c r="AM22" s="211">
        <f t="shared" si="26"/>
        <v>7500</v>
      </c>
      <c r="AN22" s="208">
        <v>25000</v>
      </c>
      <c r="AO22" s="213"/>
      <c r="AP22" s="210">
        <v>1</v>
      </c>
      <c r="AQ22" s="211">
        <f t="shared" si="27"/>
        <v>7500</v>
      </c>
      <c r="AR22" s="208">
        <v>25000</v>
      </c>
      <c r="AS22" s="213"/>
      <c r="AT22" s="210">
        <v>1</v>
      </c>
      <c r="AU22" s="211">
        <f t="shared" si="28"/>
        <v>7500</v>
      </c>
      <c r="AV22" s="208">
        <v>25000</v>
      </c>
      <c r="AW22" s="213"/>
      <c r="AX22" s="210">
        <v>1</v>
      </c>
      <c r="AY22" s="211">
        <f t="shared" si="29"/>
        <v>7500</v>
      </c>
      <c r="AZ22" s="690">
        <f t="shared" si="14"/>
        <v>50</v>
      </c>
      <c r="BA22" s="590"/>
      <c r="BB22" s="590"/>
      <c r="BC22" s="624"/>
      <c r="BD22" s="692"/>
      <c r="BE22" s="692">
        <f t="shared" si="24"/>
        <v>25000</v>
      </c>
      <c r="BF22" s="692">
        <f t="shared" si="15"/>
        <v>7550</v>
      </c>
      <c r="BG22" s="214">
        <f t="shared" si="16"/>
        <v>25000</v>
      </c>
      <c r="BH22" s="214">
        <f>BG22+AB22</f>
        <v>50000</v>
      </c>
      <c r="BI22" s="214">
        <f>BH22+AF22</f>
        <v>75000</v>
      </c>
      <c r="BJ22" s="214">
        <f t="shared" si="6"/>
        <v>100000</v>
      </c>
      <c r="BK22" s="214">
        <f t="shared" si="7"/>
        <v>125000</v>
      </c>
      <c r="BL22" s="214">
        <f t="shared" si="8"/>
        <v>150000</v>
      </c>
      <c r="BM22" s="214">
        <f t="shared" si="9"/>
        <v>175000</v>
      </c>
      <c r="BN22" s="214"/>
      <c r="BO22" s="214">
        <f t="shared" si="30"/>
        <v>-487000</v>
      </c>
      <c r="BP22" s="214">
        <f t="shared" si="30"/>
        <v>-462000</v>
      </c>
      <c r="BQ22" s="214">
        <f t="shared" si="30"/>
        <v>-437000</v>
      </c>
      <c r="BR22" s="214">
        <f t="shared" si="30"/>
        <v>-412000</v>
      </c>
      <c r="BS22" s="214">
        <f t="shared" si="30"/>
        <v>-387000</v>
      </c>
      <c r="BT22" s="214">
        <f t="shared" si="30"/>
        <v>-362000</v>
      </c>
      <c r="BU22" s="214">
        <f t="shared" si="30"/>
        <v>-337000</v>
      </c>
    </row>
    <row r="23" spans="1:73" s="215" customFormat="1" x14ac:dyDescent="0.2">
      <c r="A23" s="201">
        <v>14</v>
      </c>
      <c r="B23" s="202">
        <v>129</v>
      </c>
      <c r="C23" s="237" t="s">
        <v>134</v>
      </c>
      <c r="D23" s="238">
        <v>15000</v>
      </c>
      <c r="E23" s="239"/>
      <c r="F23" s="240">
        <v>0.5</v>
      </c>
      <c r="G23" s="241">
        <f t="shared" si="11"/>
        <v>4500</v>
      </c>
      <c r="H23" s="242">
        <v>25000</v>
      </c>
      <c r="I23" s="243"/>
      <c r="J23" s="240">
        <v>0.5</v>
      </c>
      <c r="K23" s="244">
        <f t="shared" si="12"/>
        <v>7500</v>
      </c>
      <c r="L23" s="242">
        <f>1190.48+15151.64</f>
        <v>16342.12</v>
      </c>
      <c r="M23" s="245">
        <v>15151.64</v>
      </c>
      <c r="N23" s="240">
        <v>0.5</v>
      </c>
      <c r="O23" s="244">
        <f t="shared" si="13"/>
        <v>4902.6400000000003</v>
      </c>
      <c r="P23" s="242">
        <v>25000</v>
      </c>
      <c r="Q23" s="243"/>
      <c r="R23" s="240">
        <v>0.5</v>
      </c>
      <c r="S23" s="244">
        <f t="shared" si="19"/>
        <v>7500</v>
      </c>
      <c r="T23" s="242">
        <v>25000</v>
      </c>
      <c r="U23" s="246"/>
      <c r="V23" s="240">
        <v>0.5</v>
      </c>
      <c r="W23" s="244">
        <f t="shared" si="20"/>
        <v>7500</v>
      </c>
      <c r="X23" s="242">
        <v>25000</v>
      </c>
      <c r="Y23" s="246"/>
      <c r="Z23" s="240">
        <v>0.5</v>
      </c>
      <c r="AA23" s="244">
        <f t="shared" si="21"/>
        <v>7500</v>
      </c>
      <c r="AB23" s="439">
        <v>25000</v>
      </c>
      <c r="AC23" s="440"/>
      <c r="AD23" s="441">
        <v>0.5</v>
      </c>
      <c r="AE23" s="442">
        <f t="shared" si="0"/>
        <v>7500</v>
      </c>
      <c r="AF23" s="439">
        <v>25000</v>
      </c>
      <c r="AG23" s="440"/>
      <c r="AH23" s="441">
        <v>0.5</v>
      </c>
      <c r="AI23" s="442">
        <f t="shared" si="25"/>
        <v>7500</v>
      </c>
      <c r="AJ23" s="439">
        <v>25000</v>
      </c>
      <c r="AK23" s="440"/>
      <c r="AL23" s="441">
        <v>0.5</v>
      </c>
      <c r="AM23" s="442">
        <f t="shared" si="26"/>
        <v>7500</v>
      </c>
      <c r="AN23" s="439">
        <v>25000</v>
      </c>
      <c r="AO23" s="440"/>
      <c r="AP23" s="441">
        <v>0.5</v>
      </c>
      <c r="AQ23" s="442">
        <f t="shared" si="27"/>
        <v>7500</v>
      </c>
      <c r="AR23" s="439">
        <v>25000</v>
      </c>
      <c r="AS23" s="440"/>
      <c r="AT23" s="441">
        <v>0.5</v>
      </c>
      <c r="AU23" s="442">
        <f t="shared" si="28"/>
        <v>7500</v>
      </c>
      <c r="AV23" s="439">
        <v>25000</v>
      </c>
      <c r="AW23" s="440"/>
      <c r="AX23" s="441">
        <v>0.5</v>
      </c>
      <c r="AY23" s="442">
        <f t="shared" si="29"/>
        <v>7500</v>
      </c>
      <c r="AZ23" s="690">
        <f t="shared" si="14"/>
        <v>50</v>
      </c>
      <c r="BA23" s="691"/>
      <c r="BB23" s="691"/>
      <c r="BC23" s="624"/>
      <c r="BD23" s="692"/>
      <c r="BE23" s="692">
        <f t="shared" si="24"/>
        <v>25000</v>
      </c>
      <c r="BF23" s="692">
        <f t="shared" si="15"/>
        <v>7550</v>
      </c>
      <c r="BG23" s="214">
        <f t="shared" si="16"/>
        <v>131342.12</v>
      </c>
      <c r="BH23" s="214">
        <f>BG23+AB23</f>
        <v>156342.12</v>
      </c>
      <c r="BI23" s="214">
        <f>BH23+AF23</f>
        <v>181342.12</v>
      </c>
      <c r="BJ23" s="214">
        <f t="shared" si="6"/>
        <v>206342.12</v>
      </c>
      <c r="BK23" s="214">
        <f t="shared" si="7"/>
        <v>231342.12</v>
      </c>
      <c r="BL23" s="214">
        <f t="shared" si="8"/>
        <v>256342.12</v>
      </c>
      <c r="BM23" s="214">
        <f t="shared" si="9"/>
        <v>281342.12</v>
      </c>
      <c r="BN23" s="214"/>
      <c r="BO23" s="214">
        <f t="shared" si="30"/>
        <v>-380657.88</v>
      </c>
      <c r="BP23" s="214">
        <f t="shared" si="30"/>
        <v>-355657.88</v>
      </c>
      <c r="BQ23" s="214">
        <f t="shared" si="30"/>
        <v>-330657.88</v>
      </c>
      <c r="BR23" s="214">
        <f t="shared" si="30"/>
        <v>-305657.88</v>
      </c>
      <c r="BS23" s="214">
        <f t="shared" si="30"/>
        <v>-280657.88</v>
      </c>
      <c r="BT23" s="214">
        <f t="shared" si="30"/>
        <v>-255657.88</v>
      </c>
      <c r="BU23" s="214">
        <f t="shared" si="30"/>
        <v>-230657.88</v>
      </c>
    </row>
    <row r="24" spans="1:73" s="215" customFormat="1" x14ac:dyDescent="0.2">
      <c r="A24" s="201">
        <v>15</v>
      </c>
      <c r="B24" s="202">
        <v>121</v>
      </c>
      <c r="C24" s="203" t="s">
        <v>135</v>
      </c>
      <c r="D24" s="204">
        <v>25000</v>
      </c>
      <c r="E24" s="205"/>
      <c r="F24" s="206">
        <v>1</v>
      </c>
      <c r="G24" s="207">
        <f t="shared" si="11"/>
        <v>7500</v>
      </c>
      <c r="H24" s="208">
        <v>27500</v>
      </c>
      <c r="I24" s="209"/>
      <c r="J24" s="210">
        <v>1</v>
      </c>
      <c r="K24" s="211">
        <f t="shared" si="12"/>
        <v>8250</v>
      </c>
      <c r="L24" s="208">
        <v>27500</v>
      </c>
      <c r="M24" s="212"/>
      <c r="N24" s="210">
        <v>1</v>
      </c>
      <c r="O24" s="211">
        <f t="shared" si="13"/>
        <v>8250</v>
      </c>
      <c r="P24" s="208">
        <v>27500</v>
      </c>
      <c r="Q24" s="209"/>
      <c r="R24" s="210">
        <v>1</v>
      </c>
      <c r="S24" s="211">
        <f t="shared" si="19"/>
        <v>8250</v>
      </c>
      <c r="T24" s="208">
        <v>27500</v>
      </c>
      <c r="U24" s="213"/>
      <c r="V24" s="210">
        <v>1</v>
      </c>
      <c r="W24" s="211">
        <f t="shared" si="20"/>
        <v>8250</v>
      </c>
      <c r="X24" s="208">
        <v>38107.14</v>
      </c>
      <c r="Y24" s="213"/>
      <c r="Z24" s="210">
        <v>1</v>
      </c>
      <c r="AA24" s="211">
        <f t="shared" si="21"/>
        <v>11432.14</v>
      </c>
      <c r="AB24" s="429">
        <v>29338</v>
      </c>
      <c r="AC24" s="430">
        <v>12838</v>
      </c>
      <c r="AD24" s="431">
        <v>1</v>
      </c>
      <c r="AE24" s="432">
        <f t="shared" si="0"/>
        <v>8801.4</v>
      </c>
      <c r="AF24" s="429">
        <v>30250</v>
      </c>
      <c r="AG24" s="430"/>
      <c r="AH24" s="431">
        <v>1</v>
      </c>
      <c r="AI24" s="432">
        <f t="shared" si="25"/>
        <v>9075</v>
      </c>
      <c r="AJ24" s="429">
        <v>30250</v>
      </c>
      <c r="AK24" s="430"/>
      <c r="AL24" s="431">
        <v>1</v>
      </c>
      <c r="AM24" s="432">
        <f t="shared" si="26"/>
        <v>9075</v>
      </c>
      <c r="AN24" s="429">
        <v>30250</v>
      </c>
      <c r="AO24" s="430"/>
      <c r="AP24" s="431">
        <v>1</v>
      </c>
      <c r="AQ24" s="432">
        <f t="shared" si="27"/>
        <v>9075</v>
      </c>
      <c r="AR24" s="429">
        <v>30250</v>
      </c>
      <c r="AS24" s="430"/>
      <c r="AT24" s="431">
        <v>1</v>
      </c>
      <c r="AU24" s="432">
        <f t="shared" si="28"/>
        <v>9075</v>
      </c>
      <c r="AV24" s="429">
        <v>30250</v>
      </c>
      <c r="AW24" s="430"/>
      <c r="AX24" s="431">
        <v>1</v>
      </c>
      <c r="AY24" s="432">
        <f t="shared" si="29"/>
        <v>9075</v>
      </c>
      <c r="AZ24" s="690">
        <f t="shared" si="14"/>
        <v>60.5</v>
      </c>
      <c r="BA24" s="691"/>
      <c r="BB24" s="691"/>
      <c r="BC24" s="624"/>
      <c r="BD24" s="692"/>
      <c r="BE24" s="692">
        <f t="shared" si="24"/>
        <v>30250</v>
      </c>
      <c r="BF24" s="692">
        <f t="shared" si="15"/>
        <v>9135.5</v>
      </c>
      <c r="BG24" s="214">
        <f t="shared" si="16"/>
        <v>173107.14</v>
      </c>
      <c r="BH24" s="214">
        <f>BG24+AB24</f>
        <v>202445.14</v>
      </c>
      <c r="BI24" s="214">
        <f>BH24+AF24</f>
        <v>232695.14</v>
      </c>
      <c r="BJ24" s="214">
        <f t="shared" si="6"/>
        <v>262945.14</v>
      </c>
      <c r="BK24" s="214">
        <f t="shared" si="7"/>
        <v>293195.14</v>
      </c>
      <c r="BL24" s="214">
        <f t="shared" si="8"/>
        <v>323445.14</v>
      </c>
      <c r="BM24" s="214">
        <f t="shared" si="9"/>
        <v>353695.14</v>
      </c>
      <c r="BN24" s="214"/>
      <c r="BO24" s="214">
        <f t="shared" si="30"/>
        <v>-338892.86</v>
      </c>
      <c r="BP24" s="214">
        <f t="shared" si="30"/>
        <v>-309554.86</v>
      </c>
      <c r="BQ24" s="214">
        <f t="shared" si="30"/>
        <v>-279304.86</v>
      </c>
      <c r="BR24" s="214">
        <f t="shared" si="30"/>
        <v>-249054.86</v>
      </c>
      <c r="BS24" s="214">
        <f t="shared" si="30"/>
        <v>-218804.86</v>
      </c>
      <c r="BT24" s="214">
        <f t="shared" si="30"/>
        <v>-188554.86</v>
      </c>
      <c r="BU24" s="214">
        <f t="shared" si="30"/>
        <v>-158304.85999999999</v>
      </c>
    </row>
    <row r="25" spans="1:73" s="215" customFormat="1" x14ac:dyDescent="0.2">
      <c r="A25" s="201">
        <v>16</v>
      </c>
      <c r="B25" s="202">
        <v>87</v>
      </c>
      <c r="C25" s="216" t="s">
        <v>136</v>
      </c>
      <c r="D25" s="263">
        <v>2187.5</v>
      </c>
      <c r="E25" s="264"/>
      <c r="F25" s="223">
        <f>1/31</f>
        <v>3.2300000000000002E-2</v>
      </c>
      <c r="G25" s="265">
        <f t="shared" si="11"/>
        <v>656.25</v>
      </c>
      <c r="H25" s="221">
        <v>0</v>
      </c>
      <c r="I25" s="222"/>
      <c r="J25" s="223">
        <v>0</v>
      </c>
      <c r="K25" s="224">
        <f t="shared" si="12"/>
        <v>0</v>
      </c>
      <c r="L25" s="221">
        <v>0</v>
      </c>
      <c r="M25" s="225"/>
      <c r="N25" s="223">
        <v>0</v>
      </c>
      <c r="O25" s="224">
        <f t="shared" si="13"/>
        <v>0</v>
      </c>
      <c r="P25" s="221"/>
      <c r="Q25" s="222"/>
      <c r="R25" s="223">
        <v>0</v>
      </c>
      <c r="S25" s="224">
        <f t="shared" si="19"/>
        <v>0</v>
      </c>
      <c r="T25" s="221"/>
      <c r="U25" s="226"/>
      <c r="V25" s="223">
        <v>0</v>
      </c>
      <c r="W25" s="224">
        <f t="shared" si="20"/>
        <v>0</v>
      </c>
      <c r="X25" s="221"/>
      <c r="Y25" s="226"/>
      <c r="Z25" s="223">
        <v>0</v>
      </c>
      <c r="AA25" s="224">
        <f t="shared" si="21"/>
        <v>0</v>
      </c>
      <c r="AB25" s="433"/>
      <c r="AC25" s="434"/>
      <c r="AD25" s="435">
        <v>0</v>
      </c>
      <c r="AE25" s="436">
        <f t="shared" si="0"/>
        <v>0</v>
      </c>
      <c r="AF25" s="433"/>
      <c r="AG25" s="434"/>
      <c r="AH25" s="435">
        <v>0</v>
      </c>
      <c r="AI25" s="436">
        <f t="shared" si="25"/>
        <v>0</v>
      </c>
      <c r="AJ25" s="433"/>
      <c r="AK25" s="434"/>
      <c r="AL25" s="435">
        <v>0</v>
      </c>
      <c r="AM25" s="436">
        <f t="shared" si="26"/>
        <v>0</v>
      </c>
      <c r="AN25" s="433"/>
      <c r="AO25" s="434"/>
      <c r="AP25" s="435">
        <v>0</v>
      </c>
      <c r="AQ25" s="436">
        <f t="shared" si="27"/>
        <v>0</v>
      </c>
      <c r="AR25" s="433"/>
      <c r="AS25" s="434"/>
      <c r="AT25" s="435">
        <v>0</v>
      </c>
      <c r="AU25" s="436">
        <f t="shared" si="28"/>
        <v>0</v>
      </c>
      <c r="AV25" s="433"/>
      <c r="AW25" s="434"/>
      <c r="AX25" s="435">
        <v>0</v>
      </c>
      <c r="AY25" s="436">
        <f t="shared" si="29"/>
        <v>0</v>
      </c>
      <c r="AZ25" s="690">
        <f t="shared" si="14"/>
        <v>0</v>
      </c>
      <c r="BA25" s="691"/>
      <c r="BB25" s="691"/>
      <c r="BC25" s="624"/>
      <c r="BD25" s="692"/>
      <c r="BE25" s="692"/>
      <c r="BF25" s="692">
        <f t="shared" si="15"/>
        <v>0</v>
      </c>
      <c r="BG25" s="214">
        <f t="shared" si="16"/>
        <v>2187.5</v>
      </c>
      <c r="BH25" s="214">
        <f>BG25+AB25</f>
        <v>2187.5</v>
      </c>
      <c r="BI25" s="214">
        <f>BH25+AF25</f>
        <v>2187.5</v>
      </c>
      <c r="BJ25" s="214">
        <f t="shared" si="6"/>
        <v>2187.5</v>
      </c>
      <c r="BK25" s="214">
        <f t="shared" si="7"/>
        <v>2187.5</v>
      </c>
      <c r="BL25" s="214">
        <f t="shared" si="8"/>
        <v>2187.5</v>
      </c>
      <c r="BM25" s="214">
        <f t="shared" si="9"/>
        <v>2187.5</v>
      </c>
      <c r="BN25" s="214"/>
      <c r="BO25" s="214">
        <f t="shared" si="30"/>
        <v>-509812.5</v>
      </c>
      <c r="BP25" s="214">
        <f t="shared" si="30"/>
        <v>-509812.5</v>
      </c>
      <c r="BQ25" s="214">
        <f t="shared" si="30"/>
        <v>-509812.5</v>
      </c>
      <c r="BR25" s="214">
        <f t="shared" si="30"/>
        <v>-509812.5</v>
      </c>
      <c r="BS25" s="214">
        <f t="shared" si="30"/>
        <v>-509812.5</v>
      </c>
      <c r="BT25" s="214">
        <f t="shared" si="30"/>
        <v>-509812.5</v>
      </c>
      <c r="BU25" s="214">
        <f t="shared" si="30"/>
        <v>-509812.5</v>
      </c>
    </row>
    <row r="26" spans="1:73" s="593" customFormat="1" x14ac:dyDescent="0.2">
      <c r="A26" s="201">
        <v>22</v>
      </c>
      <c r="B26" s="578">
        <v>160</v>
      </c>
      <c r="C26" s="579" t="s">
        <v>289</v>
      </c>
      <c r="D26" s="580"/>
      <c r="E26" s="581"/>
      <c r="F26" s="582"/>
      <c r="G26" s="583"/>
      <c r="H26" s="584"/>
      <c r="I26" s="585"/>
      <c r="J26" s="582"/>
      <c r="K26" s="586"/>
      <c r="L26" s="584"/>
      <c r="M26" s="587"/>
      <c r="N26" s="582"/>
      <c r="O26" s="586"/>
      <c r="P26" s="584"/>
      <c r="Q26" s="585"/>
      <c r="R26" s="582"/>
      <c r="S26" s="586"/>
      <c r="T26" s="584"/>
      <c r="U26" s="588"/>
      <c r="V26" s="582"/>
      <c r="W26" s="586"/>
      <c r="X26" s="584"/>
      <c r="Y26" s="588"/>
      <c r="Z26" s="582"/>
      <c r="AA26" s="586"/>
      <c r="AB26" s="507"/>
      <c r="AC26" s="576"/>
      <c r="AD26" s="509"/>
      <c r="AE26" s="589"/>
      <c r="AF26" s="507"/>
      <c r="AG26" s="576"/>
      <c r="AH26" s="509"/>
      <c r="AI26" s="589"/>
      <c r="AJ26" s="507">
        <v>12500</v>
      </c>
      <c r="AK26" s="576"/>
      <c r="AL26" s="509">
        <v>0.5</v>
      </c>
      <c r="AM26" s="589">
        <f t="shared" si="26"/>
        <v>3750</v>
      </c>
      <c r="AN26" s="507">
        <v>12500</v>
      </c>
      <c r="AO26" s="576"/>
      <c r="AP26" s="509">
        <v>0.5</v>
      </c>
      <c r="AQ26" s="589">
        <f t="shared" si="27"/>
        <v>3750</v>
      </c>
      <c r="AR26" s="507">
        <v>12500</v>
      </c>
      <c r="AS26" s="576"/>
      <c r="AT26" s="509">
        <v>0.5</v>
      </c>
      <c r="AU26" s="589">
        <f t="shared" si="28"/>
        <v>3750</v>
      </c>
      <c r="AV26" s="507">
        <v>12500</v>
      </c>
      <c r="AW26" s="576"/>
      <c r="AX26" s="509">
        <v>0.5</v>
      </c>
      <c r="AY26" s="589">
        <f t="shared" si="29"/>
        <v>3750</v>
      </c>
      <c r="AZ26" s="690">
        <f t="shared" si="14"/>
        <v>25</v>
      </c>
      <c r="BA26" s="691"/>
      <c r="BB26" s="691"/>
      <c r="BC26" s="624"/>
      <c r="BD26" s="692"/>
      <c r="BE26" s="692">
        <f t="shared" ref="BE26:BE32" si="31">AV26+BC26</f>
        <v>12500</v>
      </c>
      <c r="BF26" s="692">
        <f t="shared" si="15"/>
        <v>3775</v>
      </c>
      <c r="BJ26" s="214">
        <f t="shared" si="6"/>
        <v>12500</v>
      </c>
      <c r="BK26" s="214">
        <f t="shared" si="7"/>
        <v>25000</v>
      </c>
      <c r="BL26" s="214">
        <f t="shared" si="8"/>
        <v>37500</v>
      </c>
      <c r="BM26" s="214">
        <f t="shared" si="9"/>
        <v>50000</v>
      </c>
      <c r="BR26" s="214">
        <f t="shared" si="30"/>
        <v>-499500</v>
      </c>
      <c r="BS26" s="214">
        <f t="shared" si="30"/>
        <v>-487000</v>
      </c>
      <c r="BT26" s="214">
        <f t="shared" si="30"/>
        <v>-474500</v>
      </c>
      <c r="BU26" s="214">
        <f t="shared" si="30"/>
        <v>-462000</v>
      </c>
    </row>
    <row r="27" spans="1:73" s="593" customFormat="1" x14ac:dyDescent="0.2">
      <c r="A27" s="201">
        <v>23</v>
      </c>
      <c r="B27" s="578">
        <v>163</v>
      </c>
      <c r="C27" s="579" t="s">
        <v>295</v>
      </c>
      <c r="D27" s="580"/>
      <c r="E27" s="581"/>
      <c r="F27" s="582"/>
      <c r="G27" s="583"/>
      <c r="H27" s="584"/>
      <c r="I27" s="585"/>
      <c r="J27" s="582"/>
      <c r="K27" s="586"/>
      <c r="L27" s="584"/>
      <c r="M27" s="587"/>
      <c r="N27" s="582"/>
      <c r="O27" s="586"/>
      <c r="P27" s="584"/>
      <c r="Q27" s="585"/>
      <c r="R27" s="582"/>
      <c r="S27" s="586"/>
      <c r="T27" s="584"/>
      <c r="U27" s="588"/>
      <c r="V27" s="582"/>
      <c r="W27" s="586"/>
      <c r="X27" s="584"/>
      <c r="Y27" s="588"/>
      <c r="Z27" s="582"/>
      <c r="AA27" s="586"/>
      <c r="AB27" s="507"/>
      <c r="AC27" s="576"/>
      <c r="AD27" s="509"/>
      <c r="AE27" s="589"/>
      <c r="AF27" s="507"/>
      <c r="AG27" s="576"/>
      <c r="AH27" s="509"/>
      <c r="AI27" s="589"/>
      <c r="AJ27" s="507">
        <v>12500</v>
      </c>
      <c r="AK27" s="576"/>
      <c r="AL27" s="509">
        <v>0.5</v>
      </c>
      <c r="AM27" s="589">
        <f t="shared" si="26"/>
        <v>3750</v>
      </c>
      <c r="AN27" s="507">
        <v>12500</v>
      </c>
      <c r="AO27" s="576"/>
      <c r="AP27" s="509">
        <v>0.5</v>
      </c>
      <c r="AQ27" s="589">
        <f t="shared" si="27"/>
        <v>3750</v>
      </c>
      <c r="AR27" s="507">
        <v>12500</v>
      </c>
      <c r="AS27" s="576"/>
      <c r="AT27" s="509">
        <v>0.5</v>
      </c>
      <c r="AU27" s="589">
        <f t="shared" si="28"/>
        <v>3750</v>
      </c>
      <c r="AV27" s="507">
        <v>12500</v>
      </c>
      <c r="AW27" s="576"/>
      <c r="AX27" s="509">
        <v>0.5</v>
      </c>
      <c r="AY27" s="589">
        <f t="shared" si="29"/>
        <v>3750</v>
      </c>
      <c r="AZ27" s="690">
        <f t="shared" si="14"/>
        <v>25</v>
      </c>
      <c r="BA27" s="691"/>
      <c r="BB27" s="691"/>
      <c r="BC27" s="624"/>
      <c r="BD27" s="692"/>
      <c r="BE27" s="692">
        <f t="shared" si="31"/>
        <v>12500</v>
      </c>
      <c r="BF27" s="692">
        <f t="shared" si="15"/>
        <v>3775</v>
      </c>
      <c r="BJ27" s="214">
        <f t="shared" si="6"/>
        <v>12500</v>
      </c>
      <c r="BK27" s="214">
        <f t="shared" si="7"/>
        <v>25000</v>
      </c>
      <c r="BL27" s="214">
        <f t="shared" si="8"/>
        <v>37500</v>
      </c>
      <c r="BM27" s="214">
        <f t="shared" si="9"/>
        <v>50000</v>
      </c>
      <c r="BR27" s="214">
        <f t="shared" si="30"/>
        <v>-499500</v>
      </c>
      <c r="BS27" s="214">
        <f t="shared" si="30"/>
        <v>-487000</v>
      </c>
      <c r="BT27" s="214">
        <f t="shared" si="30"/>
        <v>-474500</v>
      </c>
      <c r="BU27" s="214">
        <f t="shared" si="30"/>
        <v>-462000</v>
      </c>
    </row>
    <row r="28" spans="1:73" s="215" customFormat="1" x14ac:dyDescent="0.2">
      <c r="A28" s="201">
        <v>17</v>
      </c>
      <c r="B28" s="202">
        <v>74</v>
      </c>
      <c r="C28" s="257" t="s">
        <v>137</v>
      </c>
      <c r="D28" s="217">
        <f>44000+21250</f>
        <v>65250</v>
      </c>
      <c r="E28" s="218"/>
      <c r="F28" s="219">
        <v>0.5</v>
      </c>
      <c r="G28" s="220">
        <f t="shared" si="11"/>
        <v>19575</v>
      </c>
      <c r="H28" s="258">
        <f>110000+37000</f>
        <v>147000</v>
      </c>
      <c r="I28" s="259"/>
      <c r="J28" s="219">
        <v>1</v>
      </c>
      <c r="K28" s="260">
        <f t="shared" si="12"/>
        <v>44100</v>
      </c>
      <c r="L28" s="258">
        <v>110000</v>
      </c>
      <c r="M28" s="261"/>
      <c r="N28" s="219">
        <v>1</v>
      </c>
      <c r="O28" s="260">
        <f t="shared" si="13"/>
        <v>33000</v>
      </c>
      <c r="P28" s="258">
        <v>110000</v>
      </c>
      <c r="Q28" s="259"/>
      <c r="R28" s="219">
        <v>1</v>
      </c>
      <c r="S28" s="260">
        <f t="shared" si="19"/>
        <v>33000</v>
      </c>
      <c r="T28" s="594">
        <v>110000</v>
      </c>
      <c r="U28" s="262"/>
      <c r="V28" s="219">
        <v>1</v>
      </c>
      <c r="W28" s="595">
        <f>(542250-512000)*10%+(110000-30250)*30%</f>
        <v>26950</v>
      </c>
      <c r="X28" s="594">
        <v>110000</v>
      </c>
      <c r="Y28" s="262"/>
      <c r="Z28" s="219">
        <v>1</v>
      </c>
      <c r="AA28" s="595">
        <f>X28*10%</f>
        <v>11000</v>
      </c>
      <c r="AB28" s="450">
        <v>110000</v>
      </c>
      <c r="AC28" s="451"/>
      <c r="AD28" s="452">
        <v>1</v>
      </c>
      <c r="AE28" s="453">
        <f>AB28*10%</f>
        <v>11000</v>
      </c>
      <c r="AF28" s="450">
        <v>110000</v>
      </c>
      <c r="AG28" s="451"/>
      <c r="AH28" s="452">
        <v>1</v>
      </c>
      <c r="AI28" s="453">
        <f>AF28*10%</f>
        <v>11000</v>
      </c>
      <c r="AJ28" s="450">
        <v>110000</v>
      </c>
      <c r="AK28" s="451"/>
      <c r="AL28" s="452">
        <v>1</v>
      </c>
      <c r="AM28" s="453">
        <f>AJ28*10%</f>
        <v>11000</v>
      </c>
      <c r="AN28" s="450">
        <v>121000</v>
      </c>
      <c r="AO28" s="451"/>
      <c r="AP28" s="452">
        <v>1</v>
      </c>
      <c r="AQ28" s="453">
        <f>AN28*10%</f>
        <v>12100</v>
      </c>
      <c r="AR28" s="450">
        <v>121000</v>
      </c>
      <c r="AS28" s="451"/>
      <c r="AT28" s="452">
        <v>1</v>
      </c>
      <c r="AU28" s="453">
        <f>AR28*10%</f>
        <v>12100</v>
      </c>
      <c r="AV28" s="450">
        <v>121000</v>
      </c>
      <c r="AW28" s="451"/>
      <c r="AX28" s="452">
        <v>1</v>
      </c>
      <c r="AY28" s="453">
        <f>AV28*10%</f>
        <v>12100</v>
      </c>
      <c r="AZ28" s="690">
        <f t="shared" si="14"/>
        <v>242</v>
      </c>
      <c r="BA28" s="691"/>
      <c r="BB28" s="691"/>
      <c r="BC28" s="695">
        <f>AV28*$BD$73</f>
        <v>242000</v>
      </c>
      <c r="BD28" s="696">
        <f>BC28*10.2%</f>
        <v>24684</v>
      </c>
      <c r="BE28" s="692">
        <f t="shared" si="31"/>
        <v>363000</v>
      </c>
      <c r="BF28" s="692">
        <f t="shared" si="15"/>
        <v>37026</v>
      </c>
      <c r="BG28" s="454">
        <f t="shared" si="16"/>
        <v>652250</v>
      </c>
      <c r="BH28" s="454">
        <f t="shared" ref="BH28:BH34" si="32">BG28+AB28</f>
        <v>762250</v>
      </c>
      <c r="BI28" s="454">
        <f t="shared" ref="BI28:BI34" si="33">BH28+AF28</f>
        <v>872250</v>
      </c>
      <c r="BJ28" s="454">
        <f t="shared" si="6"/>
        <v>982250</v>
      </c>
      <c r="BK28" s="454">
        <f t="shared" si="7"/>
        <v>1103250</v>
      </c>
      <c r="BL28" s="454">
        <f t="shared" si="8"/>
        <v>1224250</v>
      </c>
      <c r="BM28" s="454">
        <f t="shared" si="9"/>
        <v>1345250</v>
      </c>
      <c r="BN28" s="214"/>
      <c r="BO28" s="266">
        <f t="shared" si="30"/>
        <v>140250</v>
      </c>
      <c r="BP28" s="455">
        <f t="shared" si="30"/>
        <v>250250</v>
      </c>
      <c r="BQ28" s="455">
        <f t="shared" si="30"/>
        <v>360250</v>
      </c>
      <c r="BR28" s="455">
        <f t="shared" si="30"/>
        <v>470250</v>
      </c>
      <c r="BS28" s="455">
        <f t="shared" si="30"/>
        <v>591250</v>
      </c>
      <c r="BT28" s="455">
        <f t="shared" si="30"/>
        <v>712250</v>
      </c>
      <c r="BU28" s="455">
        <f t="shared" si="30"/>
        <v>833250</v>
      </c>
    </row>
    <row r="29" spans="1:73" s="215" customFormat="1" x14ac:dyDescent="0.2">
      <c r="A29" s="201">
        <v>18</v>
      </c>
      <c r="B29" s="202">
        <v>92</v>
      </c>
      <c r="C29" s="203" t="s">
        <v>138</v>
      </c>
      <c r="D29" s="204">
        <v>25000</v>
      </c>
      <c r="E29" s="205"/>
      <c r="F29" s="206">
        <v>1</v>
      </c>
      <c r="G29" s="207">
        <f t="shared" si="11"/>
        <v>7500</v>
      </c>
      <c r="H29" s="208">
        <v>50000</v>
      </c>
      <c r="I29" s="209"/>
      <c r="J29" s="210">
        <v>1</v>
      </c>
      <c r="K29" s="211">
        <f t="shared" si="12"/>
        <v>15000</v>
      </c>
      <c r="L29" s="208">
        <v>50000</v>
      </c>
      <c r="M29" s="212"/>
      <c r="N29" s="210">
        <v>1</v>
      </c>
      <c r="O29" s="211">
        <f t="shared" si="13"/>
        <v>15000</v>
      </c>
      <c r="P29" s="208">
        <v>50000</v>
      </c>
      <c r="Q29" s="209"/>
      <c r="R29" s="210">
        <v>1</v>
      </c>
      <c r="S29" s="211">
        <f t="shared" si="19"/>
        <v>15000</v>
      </c>
      <c r="T29" s="208">
        <v>50000</v>
      </c>
      <c r="U29" s="213"/>
      <c r="V29" s="210">
        <v>1</v>
      </c>
      <c r="W29" s="211">
        <f t="shared" si="20"/>
        <v>15000</v>
      </c>
      <c r="X29" s="208">
        <v>72175.210000000006</v>
      </c>
      <c r="Y29" s="213">
        <f>2350.02+22325.19</f>
        <v>24675.21</v>
      </c>
      <c r="Z29" s="210">
        <v>1</v>
      </c>
      <c r="AA29" s="211">
        <f t="shared" si="21"/>
        <v>21652.560000000001</v>
      </c>
      <c r="AB29" s="429">
        <v>18181.82</v>
      </c>
      <c r="AC29" s="430"/>
      <c r="AD29" s="431">
        <v>1</v>
      </c>
      <c r="AE29" s="432">
        <f>AB29*30%</f>
        <v>5454.55</v>
      </c>
      <c r="AF29" s="429">
        <v>49639.87</v>
      </c>
      <c r="AG29" s="430">
        <v>1831.78</v>
      </c>
      <c r="AH29" s="506">
        <v>1</v>
      </c>
      <c r="AI29" s="432">
        <f>AF29*30%</f>
        <v>14891.96</v>
      </c>
      <c r="AJ29" s="429">
        <v>50000</v>
      </c>
      <c r="AK29" s="430"/>
      <c r="AL29" s="509">
        <v>1</v>
      </c>
      <c r="AM29" s="432">
        <f>AJ29*30%</f>
        <v>15000</v>
      </c>
      <c r="AN29" s="429">
        <v>50000</v>
      </c>
      <c r="AO29" s="430"/>
      <c r="AP29" s="509">
        <v>1</v>
      </c>
      <c r="AQ29" s="432">
        <f>AN29*30%</f>
        <v>15000</v>
      </c>
      <c r="AR29" s="429">
        <v>50000</v>
      </c>
      <c r="AS29" s="430"/>
      <c r="AT29" s="509">
        <v>1</v>
      </c>
      <c r="AU29" s="453">
        <f>(514996.9-512000)*10%+(50000-2996.9)*30%</f>
        <v>14400.62</v>
      </c>
      <c r="AV29" s="429">
        <v>50000</v>
      </c>
      <c r="AW29" s="430"/>
      <c r="AX29" s="509">
        <v>1</v>
      </c>
      <c r="AY29" s="453">
        <f>AV29*10%</f>
        <v>5000</v>
      </c>
      <c r="AZ29" s="690">
        <f t="shared" si="14"/>
        <v>100</v>
      </c>
      <c r="BA29" s="691"/>
      <c r="BB29" s="691"/>
      <c r="BC29" s="693">
        <f>AV29*$BD$73</f>
        <v>100000</v>
      </c>
      <c r="BD29" s="694">
        <f>BC29*10.2%</f>
        <v>10200</v>
      </c>
      <c r="BE29" s="692">
        <f t="shared" si="31"/>
        <v>150000</v>
      </c>
      <c r="BF29" s="692">
        <f t="shared" si="15"/>
        <v>15300</v>
      </c>
      <c r="BG29" s="214">
        <f t="shared" si="16"/>
        <v>297175.21000000002</v>
      </c>
      <c r="BH29" s="214">
        <f t="shared" si="32"/>
        <v>315357.03000000003</v>
      </c>
      <c r="BI29" s="214">
        <f t="shared" si="33"/>
        <v>364996.9</v>
      </c>
      <c r="BJ29" s="214">
        <f t="shared" si="6"/>
        <v>414996.9</v>
      </c>
      <c r="BK29" s="214">
        <f t="shared" si="7"/>
        <v>464996.9</v>
      </c>
      <c r="BL29" s="454">
        <f t="shared" si="8"/>
        <v>514996.9</v>
      </c>
      <c r="BM29" s="454">
        <f t="shared" si="9"/>
        <v>564996.9</v>
      </c>
      <c r="BN29" s="214"/>
      <c r="BO29" s="214">
        <f t="shared" si="30"/>
        <v>-214824.79</v>
      </c>
      <c r="BP29" s="214">
        <f t="shared" si="30"/>
        <v>-196642.97</v>
      </c>
      <c r="BQ29" s="214">
        <f t="shared" si="30"/>
        <v>-147003.1</v>
      </c>
      <c r="BR29" s="214">
        <f t="shared" si="30"/>
        <v>-97003.1</v>
      </c>
      <c r="BS29" s="214">
        <f t="shared" si="30"/>
        <v>-47003.1</v>
      </c>
      <c r="BT29" s="455">
        <f t="shared" si="30"/>
        <v>2996.9</v>
      </c>
      <c r="BU29" s="455">
        <f t="shared" si="30"/>
        <v>52996.9</v>
      </c>
    </row>
    <row r="30" spans="1:73" s="215" customFormat="1" x14ac:dyDescent="0.2">
      <c r="A30" s="201">
        <v>19</v>
      </c>
      <c r="B30" s="202">
        <v>13</v>
      </c>
      <c r="C30" s="257" t="s">
        <v>139</v>
      </c>
      <c r="D30" s="217">
        <v>5843.75</v>
      </c>
      <c r="E30" s="218"/>
      <c r="F30" s="219">
        <v>0.5</v>
      </c>
      <c r="G30" s="220">
        <f t="shared" si="11"/>
        <v>1753.13</v>
      </c>
      <c r="H30" s="258">
        <v>126000</v>
      </c>
      <c r="I30" s="259"/>
      <c r="J30" s="219">
        <v>1</v>
      </c>
      <c r="K30" s="260">
        <f t="shared" si="12"/>
        <v>37800</v>
      </c>
      <c r="L30" s="258">
        <v>126000</v>
      </c>
      <c r="M30" s="261"/>
      <c r="N30" s="219">
        <v>1</v>
      </c>
      <c r="O30" s="260">
        <f t="shared" si="13"/>
        <v>37800</v>
      </c>
      <c r="P30" s="258">
        <f>108000+8490.18</f>
        <v>116490.18</v>
      </c>
      <c r="Q30" s="261">
        <v>8490.18</v>
      </c>
      <c r="R30" s="219">
        <v>1</v>
      </c>
      <c r="S30" s="260">
        <f t="shared" si="19"/>
        <v>34947.050000000003</v>
      </c>
      <c r="T30" s="258">
        <v>126000</v>
      </c>
      <c r="U30" s="261"/>
      <c r="V30" s="219">
        <v>1</v>
      </c>
      <c r="W30" s="260">
        <f t="shared" si="20"/>
        <v>37800</v>
      </c>
      <c r="X30" s="594">
        <v>119506.2</v>
      </c>
      <c r="Y30" s="261">
        <v>18706.2</v>
      </c>
      <c r="Z30" s="219">
        <v>1</v>
      </c>
      <c r="AA30" s="595">
        <f>(619840.13-512000)*10%+(119506.2-107840.13)*30%</f>
        <v>14283.83</v>
      </c>
      <c r="AB30" s="450">
        <v>126000</v>
      </c>
      <c r="AC30" s="456"/>
      <c r="AD30" s="452">
        <v>1</v>
      </c>
      <c r="AE30" s="457">
        <f>AB30*10%</f>
        <v>12600</v>
      </c>
      <c r="AF30" s="450">
        <v>126000</v>
      </c>
      <c r="AG30" s="456"/>
      <c r="AH30" s="452">
        <v>1</v>
      </c>
      <c r="AI30" s="457">
        <f>AF30*10%</f>
        <v>12600</v>
      </c>
      <c r="AJ30" s="450">
        <v>126000</v>
      </c>
      <c r="AK30" s="456"/>
      <c r="AL30" s="452">
        <v>1</v>
      </c>
      <c r="AM30" s="457">
        <f>AJ30*10%</f>
        <v>12600</v>
      </c>
      <c r="AN30" s="450">
        <v>144000</v>
      </c>
      <c r="AO30" s="456"/>
      <c r="AP30" s="452">
        <v>1</v>
      </c>
      <c r="AQ30" s="457">
        <f>AN30*10%</f>
        <v>14400</v>
      </c>
      <c r="AR30" s="450">
        <v>144000</v>
      </c>
      <c r="AS30" s="456"/>
      <c r="AT30" s="452">
        <v>1</v>
      </c>
      <c r="AU30" s="457">
        <f>AR30*10%</f>
        <v>14400</v>
      </c>
      <c r="AV30" s="450">
        <v>144000</v>
      </c>
      <c r="AW30" s="456"/>
      <c r="AX30" s="452">
        <v>1</v>
      </c>
      <c r="AY30" s="457">
        <f>AV30*10%</f>
        <v>14400</v>
      </c>
      <c r="AZ30" s="690">
        <f t="shared" si="14"/>
        <v>288</v>
      </c>
      <c r="BA30" s="691"/>
      <c r="BB30" s="691"/>
      <c r="BC30" s="695">
        <f>AV30*$BD$73</f>
        <v>288000</v>
      </c>
      <c r="BD30" s="696">
        <f>BC30*10.2%</f>
        <v>29376</v>
      </c>
      <c r="BE30" s="692">
        <f t="shared" si="31"/>
        <v>432000</v>
      </c>
      <c r="BF30" s="692">
        <f t="shared" si="15"/>
        <v>44064</v>
      </c>
      <c r="BG30" s="454">
        <f t="shared" si="16"/>
        <v>619840.13</v>
      </c>
      <c r="BH30" s="454">
        <f t="shared" si="32"/>
        <v>745840.13</v>
      </c>
      <c r="BI30" s="454">
        <f t="shared" si="33"/>
        <v>871840.13</v>
      </c>
      <c r="BJ30" s="454">
        <f t="shared" si="6"/>
        <v>997840.13</v>
      </c>
      <c r="BK30" s="454">
        <f t="shared" si="7"/>
        <v>1141840.1299999999</v>
      </c>
      <c r="BL30" s="454">
        <f t="shared" si="8"/>
        <v>1285840.1299999999</v>
      </c>
      <c r="BM30" s="454">
        <f t="shared" si="9"/>
        <v>1429840.13</v>
      </c>
      <c r="BN30" s="214"/>
      <c r="BO30" s="266">
        <f t="shared" si="30"/>
        <v>107840.13</v>
      </c>
      <c r="BP30" s="455">
        <f t="shared" si="30"/>
        <v>233840.13</v>
      </c>
      <c r="BQ30" s="455">
        <f t="shared" si="30"/>
        <v>359840.13</v>
      </c>
      <c r="BR30" s="455">
        <f t="shared" si="30"/>
        <v>485840.13</v>
      </c>
      <c r="BS30" s="455">
        <f t="shared" si="30"/>
        <v>629840.13</v>
      </c>
      <c r="BT30" s="455">
        <f t="shared" si="30"/>
        <v>773840.13</v>
      </c>
      <c r="BU30" s="455">
        <f t="shared" si="30"/>
        <v>917840.13</v>
      </c>
    </row>
    <row r="31" spans="1:73" s="215" customFormat="1" x14ac:dyDescent="0.2">
      <c r="A31" s="201">
        <v>20</v>
      </c>
      <c r="B31" s="202">
        <v>140</v>
      </c>
      <c r="C31" s="203" t="s">
        <v>140</v>
      </c>
      <c r="D31" s="204">
        <v>25000</v>
      </c>
      <c r="E31" s="205"/>
      <c r="F31" s="206">
        <v>1</v>
      </c>
      <c r="G31" s="207">
        <f t="shared" si="11"/>
        <v>7500</v>
      </c>
      <c r="H31" s="208">
        <v>40000</v>
      </c>
      <c r="I31" s="209"/>
      <c r="J31" s="210">
        <v>1</v>
      </c>
      <c r="K31" s="211">
        <f t="shared" si="12"/>
        <v>12000</v>
      </c>
      <c r="L31" s="208">
        <f>1904.76+25595.36</f>
        <v>27500.12</v>
      </c>
      <c r="M31" s="212">
        <v>25595.360000000001</v>
      </c>
      <c r="N31" s="210">
        <v>1</v>
      </c>
      <c r="O31" s="211">
        <f t="shared" si="13"/>
        <v>8250.0400000000009</v>
      </c>
      <c r="P31" s="208">
        <f>34285.71+2744.46</f>
        <v>37030.17</v>
      </c>
      <c r="Q31" s="212">
        <v>2744.46</v>
      </c>
      <c r="R31" s="210">
        <v>1</v>
      </c>
      <c r="S31" s="211">
        <f t="shared" si="19"/>
        <v>11109.05</v>
      </c>
      <c r="T31" s="208">
        <v>40000</v>
      </c>
      <c r="U31" s="212"/>
      <c r="V31" s="210">
        <v>1</v>
      </c>
      <c r="W31" s="211">
        <f t="shared" si="20"/>
        <v>12000</v>
      </c>
      <c r="X31" s="208">
        <v>37963.760000000002</v>
      </c>
      <c r="Y31" s="212">
        <v>5963.76</v>
      </c>
      <c r="Z31" s="210">
        <v>1</v>
      </c>
      <c r="AA31" s="211">
        <f t="shared" si="21"/>
        <v>11389.13</v>
      </c>
      <c r="AB31" s="429">
        <v>40000</v>
      </c>
      <c r="AC31" s="458"/>
      <c r="AD31" s="431">
        <v>1</v>
      </c>
      <c r="AE31" s="432">
        <f>AB31*30%</f>
        <v>12000</v>
      </c>
      <c r="AF31" s="429">
        <v>40000</v>
      </c>
      <c r="AG31" s="458"/>
      <c r="AH31" s="431">
        <v>1</v>
      </c>
      <c r="AI31" s="432">
        <f>AF31*30%</f>
        <v>12000</v>
      </c>
      <c r="AJ31" s="429">
        <v>40000</v>
      </c>
      <c r="AK31" s="458"/>
      <c r="AL31" s="431">
        <v>1</v>
      </c>
      <c r="AM31" s="432">
        <f>AJ31*30%</f>
        <v>12000</v>
      </c>
      <c r="AN31" s="429">
        <v>50000</v>
      </c>
      <c r="AO31" s="458"/>
      <c r="AP31" s="431">
        <v>1</v>
      </c>
      <c r="AQ31" s="432">
        <f>AN31*30%</f>
        <v>15000</v>
      </c>
      <c r="AR31" s="429">
        <v>50000</v>
      </c>
      <c r="AS31" s="458"/>
      <c r="AT31" s="431">
        <v>1</v>
      </c>
      <c r="AU31" s="432">
        <f>AR31*30%</f>
        <v>15000</v>
      </c>
      <c r="AV31" s="429">
        <v>50000</v>
      </c>
      <c r="AW31" s="458"/>
      <c r="AX31" s="431">
        <v>1</v>
      </c>
      <c r="AY31" s="432">
        <f>AV31*30%</f>
        <v>15000</v>
      </c>
      <c r="AZ31" s="690">
        <f t="shared" si="14"/>
        <v>100</v>
      </c>
      <c r="BA31" s="691"/>
      <c r="BB31" s="691"/>
      <c r="BC31" s="624"/>
      <c r="BD31" s="692"/>
      <c r="BE31" s="692">
        <f t="shared" si="31"/>
        <v>50000</v>
      </c>
      <c r="BF31" s="692">
        <f t="shared" si="15"/>
        <v>15100</v>
      </c>
      <c r="BG31" s="214">
        <f t="shared" si="16"/>
        <v>207494.05</v>
      </c>
      <c r="BH31" s="214">
        <f t="shared" si="32"/>
        <v>247494.05</v>
      </c>
      <c r="BI31" s="214">
        <f t="shared" si="33"/>
        <v>287494.05</v>
      </c>
      <c r="BJ31" s="214">
        <f t="shared" si="6"/>
        <v>327494.05</v>
      </c>
      <c r="BK31" s="214">
        <f t="shared" si="7"/>
        <v>377494.05</v>
      </c>
      <c r="BL31" s="214">
        <f t="shared" si="8"/>
        <v>427494.05</v>
      </c>
      <c r="BM31" s="214">
        <f t="shared" si="9"/>
        <v>477494.05</v>
      </c>
      <c r="BN31" s="214"/>
      <c r="BO31" s="214">
        <f t="shared" si="30"/>
        <v>-304505.95</v>
      </c>
      <c r="BP31" s="214">
        <f t="shared" si="30"/>
        <v>-264505.95</v>
      </c>
      <c r="BQ31" s="214">
        <f t="shared" si="30"/>
        <v>-224505.95</v>
      </c>
      <c r="BR31" s="214">
        <f t="shared" si="30"/>
        <v>-184505.95</v>
      </c>
      <c r="BS31" s="214">
        <f t="shared" si="30"/>
        <v>-134505.95000000001</v>
      </c>
      <c r="BT31" s="214">
        <f t="shared" si="30"/>
        <v>-84505.95</v>
      </c>
      <c r="BU31" s="214">
        <f t="shared" si="30"/>
        <v>-34505.949999999997</v>
      </c>
    </row>
    <row r="32" spans="1:73" s="215" customFormat="1" x14ac:dyDescent="0.2">
      <c r="A32" s="201">
        <v>21</v>
      </c>
      <c r="B32" s="202">
        <v>136</v>
      </c>
      <c r="C32" s="257" t="s">
        <v>141</v>
      </c>
      <c r="D32" s="217">
        <v>52500</v>
      </c>
      <c r="E32" s="218"/>
      <c r="F32" s="219">
        <v>1</v>
      </c>
      <c r="G32" s="220">
        <f t="shared" si="11"/>
        <v>15750</v>
      </c>
      <c r="H32" s="258">
        <v>95000</v>
      </c>
      <c r="I32" s="259"/>
      <c r="J32" s="219">
        <v>1</v>
      </c>
      <c r="K32" s="260">
        <f t="shared" si="12"/>
        <v>28500</v>
      </c>
      <c r="L32" s="258">
        <v>95000</v>
      </c>
      <c r="M32" s="261"/>
      <c r="N32" s="219">
        <v>1</v>
      </c>
      <c r="O32" s="260">
        <f t="shared" si="13"/>
        <v>28500</v>
      </c>
      <c r="P32" s="258">
        <v>95000</v>
      </c>
      <c r="Q32" s="259"/>
      <c r="R32" s="219">
        <v>1</v>
      </c>
      <c r="S32" s="260">
        <f t="shared" si="19"/>
        <v>28500</v>
      </c>
      <c r="T32" s="258">
        <f>81428.57+9136.26</f>
        <v>90564.83</v>
      </c>
      <c r="U32" s="261">
        <v>9136.26</v>
      </c>
      <c r="V32" s="219">
        <v>1</v>
      </c>
      <c r="W32" s="260">
        <f t="shared" si="20"/>
        <v>27169.45</v>
      </c>
      <c r="X32" s="594">
        <v>95000</v>
      </c>
      <c r="Y32" s="261"/>
      <c r="Z32" s="219">
        <v>1</v>
      </c>
      <c r="AA32" s="595">
        <f>(523064.83-512000)*10%+(95000-11064.83)*30%</f>
        <v>26287.03</v>
      </c>
      <c r="AB32" s="450">
        <v>95000</v>
      </c>
      <c r="AC32" s="456"/>
      <c r="AD32" s="452">
        <v>1</v>
      </c>
      <c r="AE32" s="457">
        <f>AB32*10%</f>
        <v>9500</v>
      </c>
      <c r="AF32" s="450">
        <v>95000</v>
      </c>
      <c r="AG32" s="456"/>
      <c r="AH32" s="452">
        <v>1</v>
      </c>
      <c r="AI32" s="457">
        <f>AF32*10%</f>
        <v>9500</v>
      </c>
      <c r="AJ32" s="450">
        <v>94205.68</v>
      </c>
      <c r="AK32" s="456">
        <v>46705.68</v>
      </c>
      <c r="AL32" s="452">
        <v>1</v>
      </c>
      <c r="AM32" s="457">
        <f>AJ32*10%</f>
        <v>9420.57</v>
      </c>
      <c r="AN32" s="450">
        <v>100000</v>
      </c>
      <c r="AO32" s="456"/>
      <c r="AP32" s="452">
        <v>1</v>
      </c>
      <c r="AQ32" s="457">
        <f>AN32*10%</f>
        <v>10000</v>
      </c>
      <c r="AR32" s="450">
        <v>100000</v>
      </c>
      <c r="AS32" s="456"/>
      <c r="AT32" s="452">
        <v>1</v>
      </c>
      <c r="AU32" s="457">
        <f>AR32*10%</f>
        <v>10000</v>
      </c>
      <c r="AV32" s="450">
        <v>100000</v>
      </c>
      <c r="AW32" s="456"/>
      <c r="AX32" s="452">
        <v>1</v>
      </c>
      <c r="AY32" s="457">
        <f>AV32*10%</f>
        <v>10000</v>
      </c>
      <c r="AZ32" s="690">
        <f t="shared" si="14"/>
        <v>200</v>
      </c>
      <c r="BA32" s="691"/>
      <c r="BB32" s="691"/>
      <c r="BC32" s="695">
        <f>AV32*$BD$73</f>
        <v>200000</v>
      </c>
      <c r="BD32" s="696">
        <f>BC32*10.2%</f>
        <v>20400</v>
      </c>
      <c r="BE32" s="692">
        <f t="shared" si="31"/>
        <v>300000</v>
      </c>
      <c r="BF32" s="692">
        <f t="shared" si="15"/>
        <v>30600</v>
      </c>
      <c r="BG32" s="454">
        <f t="shared" si="16"/>
        <v>523064.83</v>
      </c>
      <c r="BH32" s="454">
        <f t="shared" si="32"/>
        <v>618064.82999999996</v>
      </c>
      <c r="BI32" s="454">
        <f t="shared" si="33"/>
        <v>713064.83</v>
      </c>
      <c r="BJ32" s="454">
        <f t="shared" si="6"/>
        <v>807270.51</v>
      </c>
      <c r="BK32" s="454">
        <f t="shared" si="7"/>
        <v>907270.51</v>
      </c>
      <c r="BL32" s="454">
        <f t="shared" si="8"/>
        <v>1007270.51</v>
      </c>
      <c r="BM32" s="454">
        <f t="shared" si="9"/>
        <v>1107270.51</v>
      </c>
      <c r="BN32" s="214"/>
      <c r="BO32" s="266">
        <f t="shared" si="30"/>
        <v>11064.83</v>
      </c>
      <c r="BP32" s="455">
        <f t="shared" si="30"/>
        <v>106064.83</v>
      </c>
      <c r="BQ32" s="455">
        <f t="shared" si="30"/>
        <v>201064.83</v>
      </c>
      <c r="BR32" s="455">
        <f t="shared" si="30"/>
        <v>295270.51</v>
      </c>
      <c r="BS32" s="455">
        <f t="shared" si="30"/>
        <v>395270.51</v>
      </c>
      <c r="BT32" s="455">
        <f t="shared" si="30"/>
        <v>495270.51</v>
      </c>
      <c r="BU32" s="455">
        <f t="shared" si="30"/>
        <v>595270.51</v>
      </c>
    </row>
    <row r="33" spans="1:73" s="215" customFormat="1" x14ac:dyDescent="0.2">
      <c r="A33" s="201">
        <v>22</v>
      </c>
      <c r="B33" s="202">
        <v>133</v>
      </c>
      <c r="C33" s="257" t="s">
        <v>142</v>
      </c>
      <c r="D33" s="217">
        <v>35000</v>
      </c>
      <c r="E33" s="218"/>
      <c r="F33" s="219">
        <v>0.5</v>
      </c>
      <c r="G33" s="220">
        <f>D33*30%</f>
        <v>10500</v>
      </c>
      <c r="H33" s="258">
        <v>45000</v>
      </c>
      <c r="I33" s="259"/>
      <c r="J33" s="219">
        <v>0.5</v>
      </c>
      <c r="K33" s="260">
        <f>H33*30%</f>
        <v>13500</v>
      </c>
      <c r="L33" s="221"/>
      <c r="M33" s="225"/>
      <c r="N33" s="223"/>
      <c r="O33" s="224"/>
      <c r="P33" s="267"/>
      <c r="Q33" s="268"/>
      <c r="R33" s="223"/>
      <c r="S33" s="224"/>
      <c r="T33" s="267"/>
      <c r="U33" s="269"/>
      <c r="V33" s="223"/>
      <c r="W33" s="224"/>
      <c r="X33" s="267"/>
      <c r="Y33" s="269"/>
      <c r="Z33" s="223"/>
      <c r="AA33" s="224"/>
      <c r="AB33" s="459"/>
      <c r="AC33" s="460"/>
      <c r="AD33" s="435"/>
      <c r="AE33" s="436"/>
      <c r="AF33" s="459"/>
      <c r="AG33" s="460"/>
      <c r="AH33" s="435"/>
      <c r="AI33" s="436"/>
      <c r="AJ33" s="459"/>
      <c r="AK33" s="460"/>
      <c r="AL33" s="435"/>
      <c r="AM33" s="436"/>
      <c r="AN33" s="459"/>
      <c r="AO33" s="460"/>
      <c r="AP33" s="435"/>
      <c r="AQ33" s="436"/>
      <c r="AR33" s="459"/>
      <c r="AS33" s="460"/>
      <c r="AT33" s="435"/>
      <c r="AU33" s="436"/>
      <c r="AV33" s="459"/>
      <c r="AW33" s="460"/>
      <c r="AX33" s="435"/>
      <c r="AY33" s="436"/>
      <c r="AZ33" s="690">
        <f t="shared" si="14"/>
        <v>0</v>
      </c>
      <c r="BA33" s="691"/>
      <c r="BB33" s="691"/>
      <c r="BC33" s="624"/>
      <c r="BD33" s="692"/>
      <c r="BE33" s="692"/>
      <c r="BF33" s="692">
        <f t="shared" si="15"/>
        <v>0</v>
      </c>
      <c r="BG33" s="214">
        <f t="shared" si="16"/>
        <v>80000</v>
      </c>
      <c r="BH33" s="214">
        <f t="shared" si="32"/>
        <v>80000</v>
      </c>
      <c r="BI33" s="214">
        <f t="shared" si="33"/>
        <v>80000</v>
      </c>
      <c r="BJ33" s="214">
        <f t="shared" si="6"/>
        <v>80000</v>
      </c>
      <c r="BK33" s="214">
        <f t="shared" si="7"/>
        <v>80000</v>
      </c>
      <c r="BL33" s="214">
        <f t="shared" si="8"/>
        <v>80000</v>
      </c>
      <c r="BM33" s="214">
        <f t="shared" si="9"/>
        <v>80000</v>
      </c>
      <c r="BN33" s="214"/>
      <c r="BO33" s="214">
        <f t="shared" si="30"/>
        <v>-432000</v>
      </c>
      <c r="BP33" s="214">
        <f t="shared" si="30"/>
        <v>-432000</v>
      </c>
      <c r="BQ33" s="214">
        <f t="shared" si="30"/>
        <v>-432000</v>
      </c>
      <c r="BR33" s="214">
        <f t="shared" si="30"/>
        <v>-432000</v>
      </c>
      <c r="BS33" s="214">
        <f t="shared" si="30"/>
        <v>-432000</v>
      </c>
      <c r="BT33" s="214">
        <f t="shared" si="30"/>
        <v>-432000</v>
      </c>
      <c r="BU33" s="214">
        <f t="shared" si="30"/>
        <v>-432000</v>
      </c>
    </row>
    <row r="34" spans="1:73" s="215" customFormat="1" x14ac:dyDescent="0.2">
      <c r="A34" s="201">
        <v>23</v>
      </c>
      <c r="B34" s="202">
        <v>133</v>
      </c>
      <c r="C34" s="270" t="s">
        <v>142</v>
      </c>
      <c r="D34" s="271"/>
      <c r="E34" s="272"/>
      <c r="F34" s="273"/>
      <c r="G34" s="274"/>
      <c r="H34" s="275"/>
      <c r="I34" s="276"/>
      <c r="J34" s="273"/>
      <c r="K34" s="277"/>
      <c r="L34" s="278">
        <f>1190.48+34239.8</f>
        <v>35430.28</v>
      </c>
      <c r="M34" s="279">
        <v>34239.800000000003</v>
      </c>
      <c r="N34" s="210">
        <v>0.5</v>
      </c>
      <c r="O34" s="211">
        <f t="shared" si="13"/>
        <v>10629.08</v>
      </c>
      <c r="P34" s="232">
        <v>25000</v>
      </c>
      <c r="Q34" s="233"/>
      <c r="R34" s="210">
        <v>0.5</v>
      </c>
      <c r="S34" s="211">
        <f t="shared" si="19"/>
        <v>7500</v>
      </c>
      <c r="T34" s="232">
        <v>25000</v>
      </c>
      <c r="U34" s="236"/>
      <c r="V34" s="210">
        <v>0.5</v>
      </c>
      <c r="W34" s="211">
        <f t="shared" ref="W34:W69" si="34">T34*30%</f>
        <v>7500</v>
      </c>
      <c r="X34" s="232">
        <v>25000</v>
      </c>
      <c r="Y34" s="236"/>
      <c r="Z34" s="210">
        <v>0.5</v>
      </c>
      <c r="AA34" s="211">
        <f>X34*30%</f>
        <v>7500</v>
      </c>
      <c r="AB34" s="448">
        <v>25000</v>
      </c>
      <c r="AC34" s="437"/>
      <c r="AD34" s="431">
        <v>0.5</v>
      </c>
      <c r="AE34" s="432">
        <f>AB34*30%</f>
        <v>7500</v>
      </c>
      <c r="AF34" s="448">
        <v>25000</v>
      </c>
      <c r="AG34" s="437"/>
      <c r="AH34" s="431">
        <v>0.5</v>
      </c>
      <c r="AI34" s="432">
        <f>AF34*30%</f>
        <v>7500</v>
      </c>
      <c r="AJ34" s="448">
        <v>25000</v>
      </c>
      <c r="AK34" s="437"/>
      <c r="AL34" s="431">
        <v>0.5</v>
      </c>
      <c r="AM34" s="432">
        <f>AJ34*30%</f>
        <v>7500</v>
      </c>
      <c r="AN34" s="448">
        <v>25000</v>
      </c>
      <c r="AO34" s="437"/>
      <c r="AP34" s="431">
        <v>0.5</v>
      </c>
      <c r="AQ34" s="432">
        <f>AN34*30%</f>
        <v>7500</v>
      </c>
      <c r="AR34" s="448">
        <v>25000</v>
      </c>
      <c r="AS34" s="437"/>
      <c r="AT34" s="431">
        <v>0.5</v>
      </c>
      <c r="AU34" s="432">
        <f>AR34*30%</f>
        <v>7500</v>
      </c>
      <c r="AV34" s="448">
        <v>25000</v>
      </c>
      <c r="AW34" s="437"/>
      <c r="AX34" s="431">
        <v>0.5</v>
      </c>
      <c r="AY34" s="432">
        <f>AV34*30%</f>
        <v>7500</v>
      </c>
      <c r="AZ34" s="690">
        <f t="shared" si="14"/>
        <v>50</v>
      </c>
      <c r="BA34" s="691"/>
      <c r="BB34" s="691"/>
      <c r="BC34" s="624"/>
      <c r="BD34" s="692"/>
      <c r="BE34" s="692">
        <f>AV34+BC34</f>
        <v>25000</v>
      </c>
      <c r="BF34" s="692">
        <f t="shared" si="15"/>
        <v>7550</v>
      </c>
      <c r="BG34" s="214">
        <f t="shared" si="16"/>
        <v>110430.28</v>
      </c>
      <c r="BH34" s="214">
        <f t="shared" si="32"/>
        <v>135430.28</v>
      </c>
      <c r="BI34" s="214">
        <f t="shared" si="33"/>
        <v>160430.28</v>
      </c>
      <c r="BJ34" s="214">
        <f t="shared" si="6"/>
        <v>185430.28</v>
      </c>
      <c r="BK34" s="214">
        <f t="shared" si="7"/>
        <v>210430.28</v>
      </c>
      <c r="BL34" s="214">
        <f t="shared" si="8"/>
        <v>235430.28</v>
      </c>
      <c r="BM34" s="214">
        <f t="shared" si="9"/>
        <v>260430.28</v>
      </c>
      <c r="BN34" s="214"/>
      <c r="BO34" s="214">
        <f t="shared" si="30"/>
        <v>-401569.72</v>
      </c>
      <c r="BP34" s="214">
        <f t="shared" si="30"/>
        <v>-376569.72</v>
      </c>
      <c r="BQ34" s="214">
        <f t="shared" si="30"/>
        <v>-351569.72</v>
      </c>
      <c r="BR34" s="214">
        <f t="shared" si="30"/>
        <v>-326569.71999999997</v>
      </c>
      <c r="BS34" s="214">
        <f t="shared" si="30"/>
        <v>-301569.71999999997</v>
      </c>
      <c r="BT34" s="214">
        <f t="shared" si="30"/>
        <v>-276569.71999999997</v>
      </c>
      <c r="BU34" s="214">
        <f t="shared" si="30"/>
        <v>-251569.72</v>
      </c>
    </row>
    <row r="35" spans="1:73" s="593" customFormat="1" x14ac:dyDescent="0.2">
      <c r="A35" s="201">
        <v>31</v>
      </c>
      <c r="B35" s="578">
        <v>165</v>
      </c>
      <c r="C35" s="596" t="s">
        <v>290</v>
      </c>
      <c r="D35" s="580"/>
      <c r="E35" s="581"/>
      <c r="F35" s="582"/>
      <c r="G35" s="583"/>
      <c r="H35" s="584"/>
      <c r="I35" s="585"/>
      <c r="J35" s="582"/>
      <c r="K35" s="586"/>
      <c r="L35" s="584"/>
      <c r="M35" s="587"/>
      <c r="N35" s="582"/>
      <c r="O35" s="586"/>
      <c r="P35" s="584"/>
      <c r="Q35" s="585"/>
      <c r="R35" s="582"/>
      <c r="S35" s="586"/>
      <c r="T35" s="584"/>
      <c r="U35" s="588"/>
      <c r="V35" s="582"/>
      <c r="W35" s="586"/>
      <c r="X35" s="584"/>
      <c r="Y35" s="588"/>
      <c r="Z35" s="582"/>
      <c r="AA35" s="586"/>
      <c r="AB35" s="507"/>
      <c r="AC35" s="576"/>
      <c r="AD35" s="509"/>
      <c r="AE35" s="589"/>
      <c r="AF35" s="507"/>
      <c r="AG35" s="576"/>
      <c r="AH35" s="509"/>
      <c r="AI35" s="589"/>
      <c r="AJ35" s="507">
        <v>40000</v>
      </c>
      <c r="AK35" s="576"/>
      <c r="AL35" s="509">
        <v>1</v>
      </c>
      <c r="AM35" s="432">
        <f>AJ35*30%</f>
        <v>12000</v>
      </c>
      <c r="AN35" s="507">
        <v>40000</v>
      </c>
      <c r="AO35" s="576"/>
      <c r="AP35" s="509">
        <v>1</v>
      </c>
      <c r="AQ35" s="432">
        <f>AN35*30%</f>
        <v>12000</v>
      </c>
      <c r="AR35" s="507">
        <v>40000</v>
      </c>
      <c r="AS35" s="576"/>
      <c r="AT35" s="509">
        <v>1</v>
      </c>
      <c r="AU35" s="432">
        <f>AR35*30%</f>
        <v>12000</v>
      </c>
      <c r="AV35" s="507">
        <v>40000</v>
      </c>
      <c r="AW35" s="576"/>
      <c r="AX35" s="509">
        <v>1</v>
      </c>
      <c r="AY35" s="432">
        <f>AV35*30%</f>
        <v>12000</v>
      </c>
      <c r="AZ35" s="690">
        <f t="shared" si="14"/>
        <v>80</v>
      </c>
      <c r="BA35" s="691"/>
      <c r="BB35" s="691"/>
      <c r="BC35" s="624"/>
      <c r="BD35" s="692"/>
      <c r="BE35" s="692">
        <f>AV35+BC35</f>
        <v>40000</v>
      </c>
      <c r="BF35" s="692">
        <f t="shared" si="15"/>
        <v>12080</v>
      </c>
      <c r="BJ35" s="214">
        <f t="shared" si="6"/>
        <v>40000</v>
      </c>
      <c r="BK35" s="214">
        <f t="shared" si="7"/>
        <v>80000</v>
      </c>
      <c r="BL35" s="214">
        <f t="shared" si="8"/>
        <v>120000</v>
      </c>
      <c r="BM35" s="214">
        <f t="shared" si="9"/>
        <v>160000</v>
      </c>
      <c r="BR35" s="214">
        <f t="shared" si="30"/>
        <v>-472000</v>
      </c>
      <c r="BS35" s="214">
        <f t="shared" si="30"/>
        <v>-432000</v>
      </c>
      <c r="BT35" s="214">
        <f t="shared" si="30"/>
        <v>-392000</v>
      </c>
      <c r="BU35" s="214">
        <f t="shared" si="30"/>
        <v>-352000</v>
      </c>
    </row>
    <row r="36" spans="1:73" s="215" customFormat="1" x14ac:dyDescent="0.2">
      <c r="A36" s="201">
        <v>24</v>
      </c>
      <c r="B36" s="202"/>
      <c r="C36" s="247" t="s">
        <v>143</v>
      </c>
      <c r="D36" s="248">
        <v>0</v>
      </c>
      <c r="E36" s="249"/>
      <c r="F36" s="250">
        <v>0</v>
      </c>
      <c r="G36" s="251">
        <f t="shared" si="11"/>
        <v>0</v>
      </c>
      <c r="H36" s="252">
        <v>0</v>
      </c>
      <c r="I36" s="253"/>
      <c r="J36" s="250">
        <v>0</v>
      </c>
      <c r="K36" s="254">
        <f t="shared" si="12"/>
        <v>0</v>
      </c>
      <c r="L36" s="221">
        <v>0</v>
      </c>
      <c r="M36" s="225"/>
      <c r="N36" s="223">
        <v>0</v>
      </c>
      <c r="O36" s="224">
        <f t="shared" si="13"/>
        <v>0</v>
      </c>
      <c r="P36" s="221"/>
      <c r="Q36" s="222"/>
      <c r="R36" s="223">
        <v>0</v>
      </c>
      <c r="S36" s="224">
        <f t="shared" si="19"/>
        <v>0</v>
      </c>
      <c r="T36" s="221"/>
      <c r="U36" s="226"/>
      <c r="V36" s="223">
        <v>0</v>
      </c>
      <c r="W36" s="224">
        <f t="shared" si="34"/>
        <v>0</v>
      </c>
      <c r="X36" s="221"/>
      <c r="Y36" s="226"/>
      <c r="Z36" s="223">
        <v>0</v>
      </c>
      <c r="AA36" s="224">
        <f>X36*30%</f>
        <v>0</v>
      </c>
      <c r="AB36" s="433"/>
      <c r="AC36" s="434"/>
      <c r="AD36" s="435">
        <v>0</v>
      </c>
      <c r="AE36" s="436">
        <f>AB36*30%</f>
        <v>0</v>
      </c>
      <c r="AF36" s="433"/>
      <c r="AG36" s="434"/>
      <c r="AH36" s="435">
        <v>0</v>
      </c>
      <c r="AI36" s="436">
        <f>AF36*30%</f>
        <v>0</v>
      </c>
      <c r="AJ36" s="433"/>
      <c r="AK36" s="434"/>
      <c r="AL36" s="435">
        <v>0</v>
      </c>
      <c r="AM36" s="436">
        <f>AJ36*30%</f>
        <v>0</v>
      </c>
      <c r="AN36" s="433"/>
      <c r="AO36" s="434"/>
      <c r="AP36" s="435">
        <v>0</v>
      </c>
      <c r="AQ36" s="436">
        <f>AN36*30%</f>
        <v>0</v>
      </c>
      <c r="AR36" s="433"/>
      <c r="AS36" s="434"/>
      <c r="AT36" s="435">
        <v>0</v>
      </c>
      <c r="AU36" s="436">
        <f>AR36*30%</f>
        <v>0</v>
      </c>
      <c r="AV36" s="433"/>
      <c r="AW36" s="434"/>
      <c r="AX36" s="435">
        <v>0</v>
      </c>
      <c r="AY36" s="436">
        <f>AV36*30%</f>
        <v>0</v>
      </c>
      <c r="AZ36" s="690">
        <f t="shared" si="14"/>
        <v>0</v>
      </c>
      <c r="BA36" s="691"/>
      <c r="BB36" s="691"/>
      <c r="BC36" s="624"/>
      <c r="BD36" s="692"/>
      <c r="BE36" s="692"/>
      <c r="BF36" s="692">
        <f t="shared" si="15"/>
        <v>0</v>
      </c>
      <c r="BG36" s="214">
        <f t="shared" si="16"/>
        <v>0</v>
      </c>
      <c r="BH36" s="214">
        <f>BG36+AB36</f>
        <v>0</v>
      </c>
      <c r="BI36" s="214">
        <f>BH36+AF36</f>
        <v>0</v>
      </c>
      <c r="BJ36" s="214">
        <f t="shared" si="6"/>
        <v>0</v>
      </c>
      <c r="BK36" s="214">
        <f t="shared" si="7"/>
        <v>0</v>
      </c>
      <c r="BL36" s="214">
        <f t="shared" si="8"/>
        <v>0</v>
      </c>
      <c r="BM36" s="214">
        <f t="shared" si="9"/>
        <v>0</v>
      </c>
      <c r="BN36" s="214"/>
      <c r="BO36" s="214">
        <f t="shared" si="30"/>
        <v>-512000</v>
      </c>
      <c r="BP36" s="214">
        <f t="shared" si="30"/>
        <v>-512000</v>
      </c>
      <c r="BQ36" s="214">
        <f t="shared" si="30"/>
        <v>-512000</v>
      </c>
      <c r="BR36" s="214">
        <f t="shared" si="30"/>
        <v>-512000</v>
      </c>
      <c r="BS36" s="214">
        <f t="shared" si="30"/>
        <v>-512000</v>
      </c>
      <c r="BT36" s="214">
        <f t="shared" si="30"/>
        <v>-512000</v>
      </c>
      <c r="BU36" s="214">
        <f t="shared" si="30"/>
        <v>-512000</v>
      </c>
    </row>
    <row r="37" spans="1:73" s="464" customFormat="1" x14ac:dyDescent="0.2">
      <c r="A37" s="461"/>
      <c r="B37" s="281">
        <v>152</v>
      </c>
      <c r="C37" s="282" t="s">
        <v>206</v>
      </c>
      <c r="D37" s="283"/>
      <c r="E37" s="284"/>
      <c r="F37" s="210"/>
      <c r="G37" s="285"/>
      <c r="H37" s="278"/>
      <c r="I37" s="286"/>
      <c r="J37" s="210"/>
      <c r="K37" s="211"/>
      <c r="L37" s="278"/>
      <c r="M37" s="279"/>
      <c r="N37" s="210"/>
      <c r="O37" s="211"/>
      <c r="P37" s="278"/>
      <c r="Q37" s="286"/>
      <c r="R37" s="210"/>
      <c r="S37" s="211"/>
      <c r="T37" s="278"/>
      <c r="U37" s="287"/>
      <c r="V37" s="210"/>
      <c r="W37" s="211"/>
      <c r="X37" s="278">
        <v>18000</v>
      </c>
      <c r="Y37" s="287"/>
      <c r="Z37" s="210">
        <f>17/30*0.5</f>
        <v>0.2833</v>
      </c>
      <c r="AA37" s="211">
        <f>X37*30%</f>
        <v>5400</v>
      </c>
      <c r="AB37" s="462">
        <v>33000</v>
      </c>
      <c r="AC37" s="463"/>
      <c r="AD37" s="431">
        <v>0.5</v>
      </c>
      <c r="AE37" s="432">
        <f>AB37*30%</f>
        <v>9900</v>
      </c>
      <c r="AF37" s="462">
        <v>16500</v>
      </c>
      <c r="AG37" s="463"/>
      <c r="AH37" s="431">
        <v>0.5</v>
      </c>
      <c r="AI37" s="432">
        <f>AF37*30%</f>
        <v>4950</v>
      </c>
      <c r="AJ37" s="462">
        <v>16500</v>
      </c>
      <c r="AK37" s="463"/>
      <c r="AL37" s="431">
        <v>0.5</v>
      </c>
      <c r="AM37" s="432">
        <f>AJ37*30%</f>
        <v>4950</v>
      </c>
      <c r="AN37" s="462">
        <v>16500</v>
      </c>
      <c r="AO37" s="463"/>
      <c r="AP37" s="431">
        <v>0.5</v>
      </c>
      <c r="AQ37" s="432">
        <f>AN37*30%</f>
        <v>4950</v>
      </c>
      <c r="AR37" s="462">
        <v>16500</v>
      </c>
      <c r="AS37" s="463"/>
      <c r="AT37" s="431">
        <v>0.5</v>
      </c>
      <c r="AU37" s="432">
        <f>AR37*30%</f>
        <v>4950</v>
      </c>
      <c r="AV37" s="462">
        <v>16500</v>
      </c>
      <c r="AW37" s="463"/>
      <c r="AX37" s="431">
        <v>0.5</v>
      </c>
      <c r="AY37" s="432">
        <f>AV37*30%</f>
        <v>4950</v>
      </c>
      <c r="AZ37" s="690">
        <f t="shared" si="14"/>
        <v>33</v>
      </c>
      <c r="BA37" s="691"/>
      <c r="BB37" s="691"/>
      <c r="BC37" s="624"/>
      <c r="BD37" s="692"/>
      <c r="BE37" s="692">
        <f t="shared" ref="BE37:BE49" si="35">AV37+BC37</f>
        <v>16500</v>
      </c>
      <c r="BF37" s="692">
        <f t="shared" si="15"/>
        <v>4983</v>
      </c>
      <c r="BG37" s="214">
        <f t="shared" si="16"/>
        <v>18000</v>
      </c>
      <c r="BH37" s="214">
        <f>BG37+AB37</f>
        <v>51000</v>
      </c>
      <c r="BI37" s="214">
        <f>BH37+AF37</f>
        <v>67500</v>
      </c>
      <c r="BJ37" s="214">
        <f t="shared" si="6"/>
        <v>84000</v>
      </c>
      <c r="BK37" s="214">
        <f t="shared" si="7"/>
        <v>100500</v>
      </c>
      <c r="BL37" s="214">
        <f t="shared" si="8"/>
        <v>117000</v>
      </c>
      <c r="BM37" s="214">
        <f t="shared" si="9"/>
        <v>133500</v>
      </c>
      <c r="BN37" s="214"/>
      <c r="BO37" s="214">
        <f t="shared" si="30"/>
        <v>-494000</v>
      </c>
      <c r="BP37" s="214">
        <f t="shared" si="30"/>
        <v>-461000</v>
      </c>
      <c r="BQ37" s="214">
        <f t="shared" si="30"/>
        <v>-444500</v>
      </c>
      <c r="BR37" s="214">
        <f t="shared" si="30"/>
        <v>-428000</v>
      </c>
      <c r="BS37" s="214">
        <f t="shared" si="30"/>
        <v>-411500</v>
      </c>
      <c r="BT37" s="214">
        <f t="shared" si="30"/>
        <v>-395000</v>
      </c>
      <c r="BU37" s="214">
        <f t="shared" si="30"/>
        <v>-378500</v>
      </c>
    </row>
    <row r="38" spans="1:73" s="215" customFormat="1" x14ac:dyDescent="0.2">
      <c r="A38" s="201">
        <v>25</v>
      </c>
      <c r="B38" s="202">
        <v>14</v>
      </c>
      <c r="C38" s="203" t="s">
        <v>144</v>
      </c>
      <c r="D38" s="204">
        <v>77000</v>
      </c>
      <c r="E38" s="205"/>
      <c r="F38" s="206">
        <v>1</v>
      </c>
      <c r="G38" s="207">
        <f t="shared" si="11"/>
        <v>23100</v>
      </c>
      <c r="H38" s="208">
        <v>99000</v>
      </c>
      <c r="I38" s="209"/>
      <c r="J38" s="210">
        <v>1</v>
      </c>
      <c r="K38" s="211">
        <f t="shared" si="12"/>
        <v>29700</v>
      </c>
      <c r="L38" s="208">
        <v>99000</v>
      </c>
      <c r="M38" s="212"/>
      <c r="N38" s="210">
        <v>1</v>
      </c>
      <c r="O38" s="211">
        <f t="shared" si="13"/>
        <v>29700</v>
      </c>
      <c r="P38" s="208">
        <v>99000</v>
      </c>
      <c r="Q38" s="209"/>
      <c r="R38" s="210">
        <v>1</v>
      </c>
      <c r="S38" s="211">
        <f t="shared" si="19"/>
        <v>29700</v>
      </c>
      <c r="T38" s="278">
        <v>99000</v>
      </c>
      <c r="U38" s="213"/>
      <c r="V38" s="210">
        <v>1</v>
      </c>
      <c r="W38" s="211">
        <f t="shared" si="34"/>
        <v>29700</v>
      </c>
      <c r="X38" s="594">
        <v>96016.62</v>
      </c>
      <c r="Y38" s="213">
        <v>6916.62</v>
      </c>
      <c r="Z38" s="210">
        <v>1</v>
      </c>
      <c r="AA38" s="597">
        <f>(569016.62-512000)*10%+(96016.62-57016.62)*30%</f>
        <v>17401.66</v>
      </c>
      <c r="AB38" s="450">
        <v>99000</v>
      </c>
      <c r="AC38" s="465"/>
      <c r="AD38" s="466">
        <v>1</v>
      </c>
      <c r="AE38" s="453">
        <f>AB38*10%</f>
        <v>9900</v>
      </c>
      <c r="AF38" s="450">
        <v>105856.45</v>
      </c>
      <c r="AG38" s="465">
        <v>49899.92</v>
      </c>
      <c r="AH38" s="466">
        <v>1</v>
      </c>
      <c r="AI38" s="453">
        <f>AF38*10%</f>
        <v>10585.65</v>
      </c>
      <c r="AJ38" s="450">
        <v>99000</v>
      </c>
      <c r="AK38" s="576"/>
      <c r="AL38" s="509">
        <v>1</v>
      </c>
      <c r="AM38" s="453">
        <f>AJ38*10%</f>
        <v>9900</v>
      </c>
      <c r="AN38" s="450">
        <v>104500</v>
      </c>
      <c r="AO38" s="576"/>
      <c r="AP38" s="509">
        <v>1</v>
      </c>
      <c r="AQ38" s="453">
        <f>AN38*10%</f>
        <v>10450</v>
      </c>
      <c r="AR38" s="450">
        <v>109597.85</v>
      </c>
      <c r="AS38" s="576">
        <v>29978.799999999999</v>
      </c>
      <c r="AT38" s="509">
        <v>1</v>
      </c>
      <c r="AU38" s="453">
        <f>AR38*10%</f>
        <v>10959.79</v>
      </c>
      <c r="AV38" s="450">
        <v>104500</v>
      </c>
      <c r="AW38" s="576"/>
      <c r="AX38" s="509">
        <v>1</v>
      </c>
      <c r="AY38" s="453">
        <f>AV38*10%</f>
        <v>10450</v>
      </c>
      <c r="AZ38" s="690">
        <f t="shared" si="14"/>
        <v>209</v>
      </c>
      <c r="BA38" s="691"/>
      <c r="BB38" s="691"/>
      <c r="BC38" s="693">
        <f>AV38*$BD$73</f>
        <v>209000</v>
      </c>
      <c r="BD38" s="694">
        <f>BC38*10.2%</f>
        <v>21318</v>
      </c>
      <c r="BE38" s="692">
        <f t="shared" si="35"/>
        <v>313500</v>
      </c>
      <c r="BF38" s="692">
        <f t="shared" si="15"/>
        <v>31977</v>
      </c>
      <c r="BG38" s="454">
        <f t="shared" si="16"/>
        <v>569016.62</v>
      </c>
      <c r="BH38" s="454">
        <f>BG38+AB38</f>
        <v>668016.62</v>
      </c>
      <c r="BI38" s="454">
        <f>BH38+AF38</f>
        <v>773873.07</v>
      </c>
      <c r="BJ38" s="454">
        <f t="shared" si="6"/>
        <v>872873.07</v>
      </c>
      <c r="BK38" s="454">
        <f t="shared" si="7"/>
        <v>977373.07</v>
      </c>
      <c r="BL38" s="454">
        <f t="shared" si="8"/>
        <v>1086970.92</v>
      </c>
      <c r="BM38" s="454">
        <f t="shared" si="9"/>
        <v>1191470.92</v>
      </c>
      <c r="BN38" s="214"/>
      <c r="BO38" s="266">
        <f t="shared" si="30"/>
        <v>57016.62</v>
      </c>
      <c r="BP38" s="455">
        <f t="shared" si="30"/>
        <v>156016.62</v>
      </c>
      <c r="BQ38" s="455">
        <f t="shared" si="30"/>
        <v>261873.07</v>
      </c>
      <c r="BR38" s="455">
        <f t="shared" si="30"/>
        <v>360873.07</v>
      </c>
      <c r="BS38" s="455">
        <f t="shared" si="30"/>
        <v>465373.07</v>
      </c>
      <c r="BT38" s="455">
        <f t="shared" si="30"/>
        <v>574970.92000000004</v>
      </c>
      <c r="BU38" s="455">
        <f t="shared" si="30"/>
        <v>679470.92</v>
      </c>
    </row>
    <row r="39" spans="1:73" s="215" customFormat="1" x14ac:dyDescent="0.2">
      <c r="A39" s="201">
        <v>26</v>
      </c>
      <c r="B39" s="202">
        <v>59</v>
      </c>
      <c r="C39" s="203" t="s">
        <v>145</v>
      </c>
      <c r="D39" s="204">
        <v>60500</v>
      </c>
      <c r="E39" s="205"/>
      <c r="F39" s="206">
        <v>1</v>
      </c>
      <c r="G39" s="207">
        <f t="shared" si="11"/>
        <v>18150</v>
      </c>
      <c r="H39" s="208">
        <v>70000</v>
      </c>
      <c r="I39" s="209"/>
      <c r="J39" s="210">
        <v>1</v>
      </c>
      <c r="K39" s="211">
        <f t="shared" si="12"/>
        <v>21000</v>
      </c>
      <c r="L39" s="208">
        <f>3333.33+70425.6</f>
        <v>73758.929999999993</v>
      </c>
      <c r="M39" s="212">
        <v>70425.600000000006</v>
      </c>
      <c r="N39" s="210">
        <v>1</v>
      </c>
      <c r="O39" s="211">
        <f t="shared" si="13"/>
        <v>22127.68</v>
      </c>
      <c r="P39" s="208">
        <v>70000</v>
      </c>
      <c r="Q39" s="209"/>
      <c r="R39" s="210">
        <v>1</v>
      </c>
      <c r="S39" s="211">
        <f t="shared" si="19"/>
        <v>21000</v>
      </c>
      <c r="T39" s="208">
        <v>70000</v>
      </c>
      <c r="U39" s="213"/>
      <c r="V39" s="210">
        <v>1</v>
      </c>
      <c r="W39" s="211">
        <f t="shared" si="34"/>
        <v>21000</v>
      </c>
      <c r="X39" s="208">
        <v>70000</v>
      </c>
      <c r="Y39" s="213"/>
      <c r="Z39" s="210">
        <v>1</v>
      </c>
      <c r="AA39" s="211">
        <f t="shared" ref="AA39:AA69" si="36">X39*30%</f>
        <v>21000</v>
      </c>
      <c r="AB39" s="429">
        <v>70000</v>
      </c>
      <c r="AC39" s="430"/>
      <c r="AD39" s="431">
        <v>1</v>
      </c>
      <c r="AE39" s="432">
        <f t="shared" ref="AE39:AE45" si="37">AB39*30%</f>
        <v>21000</v>
      </c>
      <c r="AF39" s="429">
        <v>70000</v>
      </c>
      <c r="AG39" s="430"/>
      <c r="AH39" s="431">
        <v>1</v>
      </c>
      <c r="AI39" s="453">
        <f>(554258.93-512000)*10%+(70000-42258.93)*30%</f>
        <v>12548.21</v>
      </c>
      <c r="AJ39" s="450">
        <v>70000</v>
      </c>
      <c r="AK39" s="576"/>
      <c r="AL39" s="509">
        <v>1</v>
      </c>
      <c r="AM39" s="453">
        <f>AJ39*10%</f>
        <v>7000</v>
      </c>
      <c r="AN39" s="450">
        <v>70000</v>
      </c>
      <c r="AO39" s="576"/>
      <c r="AP39" s="509">
        <v>1</v>
      </c>
      <c r="AQ39" s="453">
        <f>AN39*10%</f>
        <v>7000</v>
      </c>
      <c r="AR39" s="450">
        <v>70000</v>
      </c>
      <c r="AS39" s="576"/>
      <c r="AT39" s="509">
        <v>1</v>
      </c>
      <c r="AU39" s="453">
        <f>AR39*10%</f>
        <v>7000</v>
      </c>
      <c r="AV39" s="450">
        <v>70000</v>
      </c>
      <c r="AW39" s="576"/>
      <c r="AX39" s="509">
        <v>1</v>
      </c>
      <c r="AY39" s="453">
        <f>AV39*10%</f>
        <v>7000</v>
      </c>
      <c r="AZ39" s="690">
        <f t="shared" si="14"/>
        <v>140</v>
      </c>
      <c r="BA39" s="691"/>
      <c r="BB39" s="691"/>
      <c r="BC39" s="693">
        <f>AV39*$BD$73</f>
        <v>140000</v>
      </c>
      <c r="BD39" s="694">
        <f>BC39*10.2%</f>
        <v>14280</v>
      </c>
      <c r="BE39" s="692">
        <f t="shared" si="35"/>
        <v>210000</v>
      </c>
      <c r="BF39" s="692">
        <f t="shared" si="15"/>
        <v>21420</v>
      </c>
      <c r="BG39" s="214">
        <f t="shared" si="16"/>
        <v>414258.93</v>
      </c>
      <c r="BH39" s="214">
        <f>BG39+AB39</f>
        <v>484258.93</v>
      </c>
      <c r="BI39" s="454">
        <f>BH39+AF39</f>
        <v>554258.93000000005</v>
      </c>
      <c r="BJ39" s="454">
        <f t="shared" si="6"/>
        <v>624258.93000000005</v>
      </c>
      <c r="BK39" s="454">
        <f t="shared" si="7"/>
        <v>694258.93</v>
      </c>
      <c r="BL39" s="454">
        <f t="shared" si="8"/>
        <v>764258.93</v>
      </c>
      <c r="BM39" s="454">
        <f t="shared" si="9"/>
        <v>834258.93</v>
      </c>
      <c r="BN39" s="214"/>
      <c r="BO39" s="214">
        <f t="shared" si="30"/>
        <v>-97741.07</v>
      </c>
      <c r="BP39" s="214">
        <f t="shared" si="30"/>
        <v>-27741.07</v>
      </c>
      <c r="BQ39" s="455">
        <f t="shared" si="30"/>
        <v>42258.93</v>
      </c>
      <c r="BR39" s="455">
        <f t="shared" si="30"/>
        <v>112258.93</v>
      </c>
      <c r="BS39" s="455">
        <f t="shared" si="30"/>
        <v>182258.93</v>
      </c>
      <c r="BT39" s="455">
        <f t="shared" si="30"/>
        <v>252258.93</v>
      </c>
      <c r="BU39" s="455">
        <f t="shared" si="30"/>
        <v>322258.93</v>
      </c>
    </row>
    <row r="40" spans="1:73" s="215" customFormat="1" x14ac:dyDescent="0.2">
      <c r="A40" s="201">
        <v>27</v>
      </c>
      <c r="B40" s="202">
        <v>128</v>
      </c>
      <c r="C40" s="237" t="s">
        <v>146</v>
      </c>
      <c r="D40" s="238">
        <v>25000</v>
      </c>
      <c r="E40" s="239"/>
      <c r="F40" s="240">
        <v>0.5</v>
      </c>
      <c r="G40" s="241">
        <f t="shared" si="11"/>
        <v>7500</v>
      </c>
      <c r="H40" s="242">
        <v>30000</v>
      </c>
      <c r="I40" s="243"/>
      <c r="J40" s="240">
        <v>0.5</v>
      </c>
      <c r="K40" s="244">
        <f t="shared" si="12"/>
        <v>9000</v>
      </c>
      <c r="L40" s="242">
        <f>1428.57+24242.4</f>
        <v>25670.97</v>
      </c>
      <c r="M40" s="245">
        <v>24242.400000000001</v>
      </c>
      <c r="N40" s="240">
        <v>0.5</v>
      </c>
      <c r="O40" s="244">
        <f t="shared" si="13"/>
        <v>7701.29</v>
      </c>
      <c r="P40" s="242">
        <v>30000</v>
      </c>
      <c r="Q40" s="243"/>
      <c r="R40" s="240">
        <v>0.5</v>
      </c>
      <c r="S40" s="244">
        <f t="shared" si="19"/>
        <v>9000</v>
      </c>
      <c r="T40" s="242">
        <v>30000</v>
      </c>
      <c r="U40" s="246"/>
      <c r="V40" s="240">
        <v>0.5</v>
      </c>
      <c r="W40" s="244">
        <f t="shared" si="34"/>
        <v>9000</v>
      </c>
      <c r="X40" s="242">
        <v>30000</v>
      </c>
      <c r="Y40" s="246"/>
      <c r="Z40" s="240">
        <v>0.5</v>
      </c>
      <c r="AA40" s="244">
        <f t="shared" si="36"/>
        <v>9000</v>
      </c>
      <c r="AB40" s="439">
        <v>30000</v>
      </c>
      <c r="AC40" s="440"/>
      <c r="AD40" s="441">
        <v>0.5</v>
      </c>
      <c r="AE40" s="442">
        <f t="shared" si="37"/>
        <v>9000</v>
      </c>
      <c r="AF40" s="439">
        <v>30000</v>
      </c>
      <c r="AG40" s="440"/>
      <c r="AH40" s="441">
        <v>0.5</v>
      </c>
      <c r="AI40" s="442">
        <f t="shared" ref="AI40:AI45" si="38">AF40*30%</f>
        <v>9000</v>
      </c>
      <c r="AJ40" s="439">
        <v>30000</v>
      </c>
      <c r="AK40" s="440"/>
      <c r="AL40" s="441">
        <v>0.5</v>
      </c>
      <c r="AM40" s="442">
        <f t="shared" ref="AM40:AM45" si="39">AJ40*30%</f>
        <v>9000</v>
      </c>
      <c r="AN40" s="439">
        <v>30000</v>
      </c>
      <c r="AO40" s="440"/>
      <c r="AP40" s="441">
        <v>0.5</v>
      </c>
      <c r="AQ40" s="442">
        <f t="shared" ref="AQ40:AQ45" si="40">AN40*30%</f>
        <v>9000</v>
      </c>
      <c r="AR40" s="439">
        <v>30000</v>
      </c>
      <c r="AS40" s="440"/>
      <c r="AT40" s="441">
        <v>0.5</v>
      </c>
      <c r="AU40" s="442">
        <f t="shared" ref="AU40:AU43" si="41">AR40*30%</f>
        <v>9000</v>
      </c>
      <c r="AV40" s="439">
        <v>30000</v>
      </c>
      <c r="AW40" s="440"/>
      <c r="AX40" s="441">
        <v>0.5</v>
      </c>
      <c r="AY40" s="442">
        <f t="shared" ref="AY40:AY43" si="42">AV40*30%</f>
        <v>9000</v>
      </c>
      <c r="AZ40" s="690">
        <f t="shared" si="14"/>
        <v>60</v>
      </c>
      <c r="BA40" s="691"/>
      <c r="BB40" s="691"/>
      <c r="BC40" s="624"/>
      <c r="BD40" s="692"/>
      <c r="BE40" s="692">
        <f t="shared" si="35"/>
        <v>30000</v>
      </c>
      <c r="BF40" s="692">
        <f t="shared" si="15"/>
        <v>9060</v>
      </c>
      <c r="BG40" s="214">
        <f t="shared" si="16"/>
        <v>170670.97</v>
      </c>
      <c r="BH40" s="214">
        <f>BG40+AB40</f>
        <v>200670.97</v>
      </c>
      <c r="BI40" s="214">
        <f>BH40+AF40</f>
        <v>230670.97</v>
      </c>
      <c r="BJ40" s="214">
        <f t="shared" si="6"/>
        <v>260670.97</v>
      </c>
      <c r="BK40" s="214">
        <f t="shared" si="7"/>
        <v>290670.96999999997</v>
      </c>
      <c r="BL40" s="214">
        <f t="shared" si="8"/>
        <v>320670.96999999997</v>
      </c>
      <c r="BM40" s="214">
        <f t="shared" si="9"/>
        <v>350670.97</v>
      </c>
      <c r="BN40" s="214"/>
      <c r="BO40" s="214">
        <f t="shared" si="30"/>
        <v>-341329.03</v>
      </c>
      <c r="BP40" s="214">
        <f t="shared" si="30"/>
        <v>-311329.03000000003</v>
      </c>
      <c r="BQ40" s="214">
        <f t="shared" si="30"/>
        <v>-281329.03000000003</v>
      </c>
      <c r="BR40" s="214">
        <f t="shared" si="30"/>
        <v>-251329.03</v>
      </c>
      <c r="BS40" s="214">
        <f t="shared" si="30"/>
        <v>-221329.03</v>
      </c>
      <c r="BT40" s="214">
        <f t="shared" si="30"/>
        <v>-191329.03</v>
      </c>
      <c r="BU40" s="214">
        <f t="shared" si="30"/>
        <v>-161329.03</v>
      </c>
    </row>
    <row r="41" spans="1:73" s="593" customFormat="1" x14ac:dyDescent="0.2">
      <c r="A41" s="201">
        <v>37</v>
      </c>
      <c r="B41" s="578">
        <v>162</v>
      </c>
      <c r="C41" s="579" t="s">
        <v>291</v>
      </c>
      <c r="D41" s="580"/>
      <c r="E41" s="581"/>
      <c r="F41" s="582"/>
      <c r="G41" s="583"/>
      <c r="H41" s="584"/>
      <c r="I41" s="585"/>
      <c r="J41" s="582"/>
      <c r="K41" s="586"/>
      <c r="L41" s="584"/>
      <c r="M41" s="598"/>
      <c r="N41" s="582"/>
      <c r="O41" s="586"/>
      <c r="P41" s="584"/>
      <c r="Q41" s="599"/>
      <c r="R41" s="582"/>
      <c r="S41" s="586"/>
      <c r="T41" s="584"/>
      <c r="U41" s="600"/>
      <c r="V41" s="582"/>
      <c r="W41" s="586"/>
      <c r="X41" s="584"/>
      <c r="Y41" s="600"/>
      <c r="Z41" s="582"/>
      <c r="AA41" s="586"/>
      <c r="AB41" s="507"/>
      <c r="AC41" s="601"/>
      <c r="AD41" s="509"/>
      <c r="AE41" s="589"/>
      <c r="AF41" s="507"/>
      <c r="AG41" s="601"/>
      <c r="AH41" s="509"/>
      <c r="AI41" s="589"/>
      <c r="AJ41" s="507">
        <v>20000</v>
      </c>
      <c r="AK41" s="601"/>
      <c r="AL41" s="509">
        <v>0.5</v>
      </c>
      <c r="AM41" s="589">
        <f>AJ41*30%</f>
        <v>6000</v>
      </c>
      <c r="AN41" s="507">
        <v>20000</v>
      </c>
      <c r="AO41" s="601"/>
      <c r="AP41" s="509">
        <v>0.5</v>
      </c>
      <c r="AQ41" s="589">
        <f>AN41*30%</f>
        <v>6000</v>
      </c>
      <c r="AR41" s="507">
        <v>20000</v>
      </c>
      <c r="AS41" s="601"/>
      <c r="AT41" s="509">
        <v>0.5</v>
      </c>
      <c r="AU41" s="589">
        <f>AR41*30%</f>
        <v>6000</v>
      </c>
      <c r="AV41" s="507">
        <v>20000</v>
      </c>
      <c r="AW41" s="601"/>
      <c r="AX41" s="509">
        <v>0.5</v>
      </c>
      <c r="AY41" s="589">
        <f>AV41*30%</f>
        <v>6000</v>
      </c>
      <c r="AZ41" s="690">
        <f t="shared" si="14"/>
        <v>40</v>
      </c>
      <c r="BA41" s="691"/>
      <c r="BB41" s="691"/>
      <c r="BC41" s="624"/>
      <c r="BD41" s="692"/>
      <c r="BE41" s="692">
        <f t="shared" si="35"/>
        <v>20000</v>
      </c>
      <c r="BF41" s="692">
        <f t="shared" si="15"/>
        <v>6040</v>
      </c>
      <c r="BJ41" s="214">
        <f t="shared" si="6"/>
        <v>20000</v>
      </c>
      <c r="BK41" s="214">
        <f t="shared" si="7"/>
        <v>40000</v>
      </c>
      <c r="BL41" s="214">
        <f t="shared" si="8"/>
        <v>60000</v>
      </c>
      <c r="BM41" s="214">
        <f t="shared" si="9"/>
        <v>80000</v>
      </c>
      <c r="BR41" s="214">
        <f t="shared" si="30"/>
        <v>-492000</v>
      </c>
      <c r="BS41" s="214">
        <f t="shared" si="30"/>
        <v>-472000</v>
      </c>
      <c r="BT41" s="214">
        <f t="shared" si="30"/>
        <v>-452000</v>
      </c>
      <c r="BU41" s="214">
        <f t="shared" si="30"/>
        <v>-432000</v>
      </c>
    </row>
    <row r="42" spans="1:73" s="215" customFormat="1" x14ac:dyDescent="0.2">
      <c r="A42" s="201">
        <v>28</v>
      </c>
      <c r="B42" s="202">
        <v>80</v>
      </c>
      <c r="C42" s="257" t="s">
        <v>147</v>
      </c>
      <c r="D42" s="217">
        <f>13750+4749.15</f>
        <v>18499.150000000001</v>
      </c>
      <c r="E42" s="218">
        <v>4749.1499999999996</v>
      </c>
      <c r="F42" s="219">
        <v>1</v>
      </c>
      <c r="G42" s="220">
        <f t="shared" si="11"/>
        <v>5549.75</v>
      </c>
      <c r="H42" s="258">
        <v>45000</v>
      </c>
      <c r="I42" s="259"/>
      <c r="J42" s="219">
        <v>1</v>
      </c>
      <c r="K42" s="260">
        <f t="shared" si="12"/>
        <v>13500</v>
      </c>
      <c r="L42" s="258">
        <f>37857.14+4935.56</f>
        <v>42792.7</v>
      </c>
      <c r="M42" s="280">
        <f>4935.56</f>
        <v>4935.5600000000004</v>
      </c>
      <c r="N42" s="219">
        <v>1</v>
      </c>
      <c r="O42" s="260">
        <f t="shared" si="13"/>
        <v>12837.81</v>
      </c>
      <c r="P42" s="258">
        <v>45000</v>
      </c>
      <c r="Q42" s="258"/>
      <c r="R42" s="219">
        <v>1</v>
      </c>
      <c r="S42" s="260">
        <f t="shared" si="19"/>
        <v>13500</v>
      </c>
      <c r="T42" s="258">
        <f>28571.43+15000+762.97</f>
        <v>44334.400000000001</v>
      </c>
      <c r="U42" s="280">
        <v>762.97</v>
      </c>
      <c r="V42" s="219">
        <v>1</v>
      </c>
      <c r="W42" s="260">
        <f t="shared" si="34"/>
        <v>13300.32</v>
      </c>
      <c r="X42" s="258">
        <v>45000</v>
      </c>
      <c r="Y42" s="280"/>
      <c r="Z42" s="219">
        <v>1</v>
      </c>
      <c r="AA42" s="260">
        <f t="shared" si="36"/>
        <v>13500</v>
      </c>
      <c r="AB42" s="467">
        <v>45000</v>
      </c>
      <c r="AC42" s="468"/>
      <c r="AD42" s="452">
        <v>1</v>
      </c>
      <c r="AE42" s="469">
        <f t="shared" si="37"/>
        <v>13500</v>
      </c>
      <c r="AF42" s="467">
        <v>42323.38</v>
      </c>
      <c r="AG42" s="468">
        <v>11949.42</v>
      </c>
      <c r="AH42" s="452">
        <v>1</v>
      </c>
      <c r="AI42" s="469">
        <f t="shared" si="38"/>
        <v>12697.01</v>
      </c>
      <c r="AJ42" s="467">
        <v>45000</v>
      </c>
      <c r="AK42" s="468"/>
      <c r="AL42" s="452">
        <v>1</v>
      </c>
      <c r="AM42" s="469">
        <f t="shared" si="39"/>
        <v>13500</v>
      </c>
      <c r="AN42" s="467">
        <v>50000</v>
      </c>
      <c r="AO42" s="468"/>
      <c r="AP42" s="452">
        <v>1</v>
      </c>
      <c r="AQ42" s="469">
        <f t="shared" si="40"/>
        <v>15000</v>
      </c>
      <c r="AR42" s="467">
        <v>48573.42</v>
      </c>
      <c r="AS42" s="468">
        <v>6502.3</v>
      </c>
      <c r="AT42" s="452">
        <v>1</v>
      </c>
      <c r="AU42" s="469">
        <f t="shared" si="41"/>
        <v>14572.03</v>
      </c>
      <c r="AV42" s="450">
        <v>50000</v>
      </c>
      <c r="AW42" s="468"/>
      <c r="AX42" s="452">
        <v>1</v>
      </c>
      <c r="AY42" s="453">
        <f>(521523.05-512000)*10%+(50000-9523.05)*30%</f>
        <v>13095.39</v>
      </c>
      <c r="AZ42" s="690">
        <f t="shared" si="14"/>
        <v>100</v>
      </c>
      <c r="BA42" s="691"/>
      <c r="BB42" s="691"/>
      <c r="BC42" s="695">
        <f>AV42*$BD$73</f>
        <v>100000</v>
      </c>
      <c r="BD42" s="696">
        <f>BC42*10.2%</f>
        <v>10200</v>
      </c>
      <c r="BE42" s="692">
        <f t="shared" si="35"/>
        <v>150000</v>
      </c>
      <c r="BF42" s="692">
        <f t="shared" si="15"/>
        <v>23395.39</v>
      </c>
      <c r="BG42" s="214">
        <f t="shared" si="16"/>
        <v>240626.25</v>
      </c>
      <c r="BH42" s="214">
        <f t="shared" ref="BH42:BH50" si="43">BG42+AB42</f>
        <v>285626.25</v>
      </c>
      <c r="BI42" s="214">
        <f t="shared" ref="BI42:BI50" si="44">BH42+AF42</f>
        <v>327949.63</v>
      </c>
      <c r="BJ42" s="214">
        <f t="shared" si="6"/>
        <v>372949.63</v>
      </c>
      <c r="BK42" s="214">
        <f t="shared" si="7"/>
        <v>422949.63</v>
      </c>
      <c r="BL42" s="214">
        <f t="shared" si="8"/>
        <v>471523.05</v>
      </c>
      <c r="BM42" s="454">
        <f t="shared" si="9"/>
        <v>521523.05</v>
      </c>
      <c r="BN42" s="214"/>
      <c r="BO42" s="214">
        <f t="shared" si="30"/>
        <v>-271373.75</v>
      </c>
      <c r="BP42" s="214">
        <f t="shared" si="30"/>
        <v>-226373.75</v>
      </c>
      <c r="BQ42" s="214">
        <f t="shared" si="30"/>
        <v>-184050.37</v>
      </c>
      <c r="BR42" s="214">
        <f t="shared" si="30"/>
        <v>-139050.37</v>
      </c>
      <c r="BS42" s="214">
        <f t="shared" si="30"/>
        <v>-89050.37</v>
      </c>
      <c r="BT42" s="214">
        <f t="shared" si="30"/>
        <v>-40476.949999999997</v>
      </c>
      <c r="BU42" s="455">
        <f t="shared" si="30"/>
        <v>9523.0499999999993</v>
      </c>
    </row>
    <row r="43" spans="1:73" s="215" customFormat="1" x14ac:dyDescent="0.2">
      <c r="A43" s="201">
        <v>29</v>
      </c>
      <c r="B43" s="202">
        <v>141</v>
      </c>
      <c r="C43" s="203" t="s">
        <v>148</v>
      </c>
      <c r="D43" s="204">
        <v>22000</v>
      </c>
      <c r="E43" s="205"/>
      <c r="F43" s="206">
        <v>1</v>
      </c>
      <c r="G43" s="207">
        <f t="shared" si="11"/>
        <v>6600</v>
      </c>
      <c r="H43" s="208">
        <v>25000</v>
      </c>
      <c r="I43" s="209"/>
      <c r="J43" s="210">
        <v>1</v>
      </c>
      <c r="K43" s="211">
        <f t="shared" si="12"/>
        <v>7500</v>
      </c>
      <c r="L43" s="208">
        <f>1190.48+21309.4</f>
        <v>22499.88</v>
      </c>
      <c r="M43" s="212">
        <v>21309.4</v>
      </c>
      <c r="N43" s="210">
        <v>1</v>
      </c>
      <c r="O43" s="211">
        <f t="shared" si="13"/>
        <v>6749.96</v>
      </c>
      <c r="P43" s="208">
        <v>25000</v>
      </c>
      <c r="Q43" s="209"/>
      <c r="R43" s="210">
        <v>1</v>
      </c>
      <c r="S43" s="211">
        <f t="shared" si="19"/>
        <v>7500</v>
      </c>
      <c r="T43" s="208">
        <v>25000</v>
      </c>
      <c r="U43" s="213"/>
      <c r="V43" s="210">
        <v>1</v>
      </c>
      <c r="W43" s="211">
        <f t="shared" si="34"/>
        <v>7500</v>
      </c>
      <c r="X43" s="208">
        <v>25000</v>
      </c>
      <c r="Y43" s="213"/>
      <c r="Z43" s="210">
        <v>1</v>
      </c>
      <c r="AA43" s="211">
        <f t="shared" si="36"/>
        <v>7500</v>
      </c>
      <c r="AB43" s="429">
        <v>25000</v>
      </c>
      <c r="AC43" s="430"/>
      <c r="AD43" s="431">
        <v>1</v>
      </c>
      <c r="AE43" s="432">
        <f t="shared" si="37"/>
        <v>7500</v>
      </c>
      <c r="AF43" s="429">
        <v>25000</v>
      </c>
      <c r="AG43" s="430"/>
      <c r="AH43" s="431">
        <v>1</v>
      </c>
      <c r="AI43" s="432">
        <f t="shared" si="38"/>
        <v>7500</v>
      </c>
      <c r="AJ43" s="429">
        <v>25000</v>
      </c>
      <c r="AK43" s="430"/>
      <c r="AL43" s="431">
        <v>1</v>
      </c>
      <c r="AM43" s="432">
        <f t="shared" si="39"/>
        <v>7500</v>
      </c>
      <c r="AN43" s="429">
        <v>28229.45</v>
      </c>
      <c r="AO43" s="430"/>
      <c r="AP43" s="431">
        <f>19/31+(10/31*0.5)</f>
        <v>0.7742</v>
      </c>
      <c r="AQ43" s="432">
        <f t="shared" si="40"/>
        <v>8468.84</v>
      </c>
      <c r="AR43" s="429">
        <v>12500</v>
      </c>
      <c r="AS43" s="430"/>
      <c r="AT43" s="431">
        <v>0.5</v>
      </c>
      <c r="AU43" s="432">
        <f t="shared" si="41"/>
        <v>3750</v>
      </c>
      <c r="AV43" s="429">
        <v>12500</v>
      </c>
      <c r="AW43" s="430"/>
      <c r="AX43" s="431">
        <v>0.5</v>
      </c>
      <c r="AY43" s="432">
        <f t="shared" si="42"/>
        <v>3750</v>
      </c>
      <c r="AZ43" s="690">
        <f t="shared" si="14"/>
        <v>25</v>
      </c>
      <c r="BA43" s="691"/>
      <c r="BB43" s="691"/>
      <c r="BC43" s="624"/>
      <c r="BD43" s="692"/>
      <c r="BE43" s="692">
        <f t="shared" si="35"/>
        <v>12500</v>
      </c>
      <c r="BF43" s="692">
        <f t="shared" si="15"/>
        <v>3775</v>
      </c>
      <c r="BG43" s="214">
        <f t="shared" si="16"/>
        <v>144499.88</v>
      </c>
      <c r="BH43" s="214">
        <f t="shared" si="43"/>
        <v>169499.88</v>
      </c>
      <c r="BI43" s="214">
        <f t="shared" si="44"/>
        <v>194499.88</v>
      </c>
      <c r="BJ43" s="214">
        <f t="shared" si="6"/>
        <v>219499.88</v>
      </c>
      <c r="BK43" s="214">
        <f t="shared" si="7"/>
        <v>247729.33</v>
      </c>
      <c r="BL43" s="214">
        <f t="shared" si="8"/>
        <v>260229.33</v>
      </c>
      <c r="BM43" s="214">
        <f t="shared" si="9"/>
        <v>272729.33</v>
      </c>
      <c r="BN43" s="214"/>
      <c r="BO43" s="214">
        <f t="shared" si="30"/>
        <v>-367500.12</v>
      </c>
      <c r="BP43" s="214">
        <f t="shared" si="30"/>
        <v>-342500.12</v>
      </c>
      <c r="BQ43" s="214">
        <f t="shared" si="30"/>
        <v>-317500.12</v>
      </c>
      <c r="BR43" s="214">
        <f t="shared" si="30"/>
        <v>-292500.12</v>
      </c>
      <c r="BS43" s="214">
        <f t="shared" si="30"/>
        <v>-264270.67</v>
      </c>
      <c r="BT43" s="214">
        <f t="shared" si="30"/>
        <v>-251770.67</v>
      </c>
      <c r="BU43" s="214">
        <f t="shared" si="30"/>
        <v>-239270.67</v>
      </c>
    </row>
    <row r="44" spans="1:73" s="215" customFormat="1" x14ac:dyDescent="0.2">
      <c r="A44" s="201">
        <v>30</v>
      </c>
      <c r="B44" s="281">
        <v>42</v>
      </c>
      <c r="C44" s="282" t="s">
        <v>149</v>
      </c>
      <c r="D44" s="283">
        <v>31402.080000000002</v>
      </c>
      <c r="E44" s="284"/>
      <c r="F44" s="210">
        <f>7/8</f>
        <v>0.875</v>
      </c>
      <c r="G44" s="285">
        <f t="shared" si="11"/>
        <v>9420.6200000000008</v>
      </c>
      <c r="H44" s="278">
        <f>21000+33933.56</f>
        <v>54933.56</v>
      </c>
      <c r="I44" s="286"/>
      <c r="J44" s="210">
        <f>7/8*18/29+1*11/29</f>
        <v>0.9224</v>
      </c>
      <c r="K44" s="211">
        <f t="shared" si="12"/>
        <v>16480.07</v>
      </c>
      <c r="L44" s="278">
        <v>60000</v>
      </c>
      <c r="M44" s="279"/>
      <c r="N44" s="210">
        <v>1</v>
      </c>
      <c r="O44" s="211">
        <f t="shared" si="13"/>
        <v>18000</v>
      </c>
      <c r="P44" s="278">
        <v>60000</v>
      </c>
      <c r="Q44" s="286"/>
      <c r="R44" s="210">
        <v>1</v>
      </c>
      <c r="S44" s="211">
        <f t="shared" si="19"/>
        <v>18000</v>
      </c>
      <c r="T44" s="278">
        <v>60000</v>
      </c>
      <c r="U44" s="287"/>
      <c r="V44" s="210">
        <v>1</v>
      </c>
      <c r="W44" s="211">
        <f t="shared" si="34"/>
        <v>18000</v>
      </c>
      <c r="X44" s="278">
        <v>54790.44</v>
      </c>
      <c r="Y44" s="287">
        <v>30790.44</v>
      </c>
      <c r="Z44" s="210">
        <v>1</v>
      </c>
      <c r="AA44" s="211">
        <f t="shared" si="36"/>
        <v>16437.13</v>
      </c>
      <c r="AB44" s="462">
        <v>60000</v>
      </c>
      <c r="AC44" s="463"/>
      <c r="AD44" s="431">
        <v>1</v>
      </c>
      <c r="AE44" s="432">
        <f t="shared" si="37"/>
        <v>18000</v>
      </c>
      <c r="AF44" s="462">
        <v>60000</v>
      </c>
      <c r="AG44" s="463"/>
      <c r="AH44" s="431">
        <v>1</v>
      </c>
      <c r="AI44" s="432">
        <f t="shared" si="38"/>
        <v>18000</v>
      </c>
      <c r="AJ44" s="462">
        <v>53965.5</v>
      </c>
      <c r="AK44" s="463">
        <v>17965.5</v>
      </c>
      <c r="AL44" s="431">
        <v>1</v>
      </c>
      <c r="AM44" s="432">
        <f t="shared" si="39"/>
        <v>16189.65</v>
      </c>
      <c r="AN44" s="450">
        <v>60000</v>
      </c>
      <c r="AO44" s="463"/>
      <c r="AP44" s="431">
        <v>1</v>
      </c>
      <c r="AQ44" s="453">
        <f>(555091.58-512000)*10%+(60000-43091.58)*30%</f>
        <v>9381.68</v>
      </c>
      <c r="AR44" s="450">
        <v>60000</v>
      </c>
      <c r="AS44" s="463"/>
      <c r="AT44" s="431">
        <v>1</v>
      </c>
      <c r="AU44" s="453">
        <f>AR44*10%</f>
        <v>6000</v>
      </c>
      <c r="AV44" s="450">
        <v>60000</v>
      </c>
      <c r="AW44" s="463"/>
      <c r="AX44" s="431">
        <v>1</v>
      </c>
      <c r="AY44" s="453">
        <f>AV44*10%</f>
        <v>6000</v>
      </c>
      <c r="AZ44" s="690">
        <f t="shared" si="14"/>
        <v>120</v>
      </c>
      <c r="BA44" s="691"/>
      <c r="BB44" s="691"/>
      <c r="BC44" s="693">
        <f>AV44*$BD$73</f>
        <v>120000</v>
      </c>
      <c r="BD44" s="694">
        <f>BC44*10.2%</f>
        <v>12240</v>
      </c>
      <c r="BE44" s="692">
        <f t="shared" si="35"/>
        <v>180000</v>
      </c>
      <c r="BF44" s="692">
        <f t="shared" si="15"/>
        <v>18360</v>
      </c>
      <c r="BG44" s="214">
        <f t="shared" si="16"/>
        <v>321126.08</v>
      </c>
      <c r="BH44" s="214">
        <f t="shared" si="43"/>
        <v>381126.08</v>
      </c>
      <c r="BI44" s="214">
        <f t="shared" si="44"/>
        <v>441126.08</v>
      </c>
      <c r="BJ44" s="214">
        <f t="shared" si="6"/>
        <v>495091.58</v>
      </c>
      <c r="BK44" s="454">
        <f t="shared" si="7"/>
        <v>555091.57999999996</v>
      </c>
      <c r="BL44" s="454">
        <f t="shared" si="8"/>
        <v>615091.57999999996</v>
      </c>
      <c r="BM44" s="454">
        <f t="shared" si="9"/>
        <v>675091.58</v>
      </c>
      <c r="BN44" s="214"/>
      <c r="BO44" s="214">
        <f t="shared" si="30"/>
        <v>-190873.92</v>
      </c>
      <c r="BP44" s="214">
        <f t="shared" si="30"/>
        <v>-130873.92</v>
      </c>
      <c r="BQ44" s="214">
        <f t="shared" si="30"/>
        <v>-70873.919999999998</v>
      </c>
      <c r="BR44" s="214">
        <f t="shared" si="30"/>
        <v>-16908.419999999998</v>
      </c>
      <c r="BS44" s="455">
        <f t="shared" si="30"/>
        <v>43091.58</v>
      </c>
      <c r="BT44" s="455">
        <f t="shared" si="30"/>
        <v>103091.58</v>
      </c>
      <c r="BU44" s="455">
        <f t="shared" si="30"/>
        <v>163091.57999999999</v>
      </c>
    </row>
    <row r="45" spans="1:73" s="215" customFormat="1" x14ac:dyDescent="0.2">
      <c r="A45" s="201">
        <v>31</v>
      </c>
      <c r="B45" s="202">
        <v>144</v>
      </c>
      <c r="C45" s="203" t="s">
        <v>150</v>
      </c>
      <c r="D45" s="204">
        <v>25000</v>
      </c>
      <c r="E45" s="205"/>
      <c r="F45" s="206">
        <v>1</v>
      </c>
      <c r="G45" s="207">
        <f t="shared" si="11"/>
        <v>7500</v>
      </c>
      <c r="H45" s="208">
        <v>30000</v>
      </c>
      <c r="I45" s="209"/>
      <c r="J45" s="210">
        <v>1</v>
      </c>
      <c r="K45" s="211">
        <f t="shared" si="12"/>
        <v>9000</v>
      </c>
      <c r="L45" s="208">
        <f>15714.29+12380.9</f>
        <v>28095.19</v>
      </c>
      <c r="M45" s="212">
        <v>12380.9</v>
      </c>
      <c r="N45" s="210">
        <v>1</v>
      </c>
      <c r="O45" s="211">
        <f t="shared" si="13"/>
        <v>8428.56</v>
      </c>
      <c r="P45" s="208">
        <v>30000</v>
      </c>
      <c r="Q45" s="209"/>
      <c r="R45" s="210">
        <v>1</v>
      </c>
      <c r="S45" s="211">
        <f t="shared" si="19"/>
        <v>9000</v>
      </c>
      <c r="T45" s="208">
        <v>30000</v>
      </c>
      <c r="U45" s="213"/>
      <c r="V45" s="210">
        <v>1</v>
      </c>
      <c r="W45" s="211">
        <f t="shared" si="34"/>
        <v>9000</v>
      </c>
      <c r="X45" s="208">
        <v>30000</v>
      </c>
      <c r="Y45" s="213"/>
      <c r="Z45" s="210">
        <v>1</v>
      </c>
      <c r="AA45" s="211">
        <f t="shared" si="36"/>
        <v>9000</v>
      </c>
      <c r="AB45" s="429">
        <v>30000</v>
      </c>
      <c r="AC45" s="430"/>
      <c r="AD45" s="431">
        <v>1</v>
      </c>
      <c r="AE45" s="432">
        <f t="shared" si="37"/>
        <v>9000</v>
      </c>
      <c r="AF45" s="429">
        <v>30000</v>
      </c>
      <c r="AG45" s="430"/>
      <c r="AH45" s="431">
        <v>1</v>
      </c>
      <c r="AI45" s="432">
        <f t="shared" si="38"/>
        <v>9000</v>
      </c>
      <c r="AJ45" s="429">
        <v>30000</v>
      </c>
      <c r="AK45" s="430"/>
      <c r="AL45" s="431">
        <v>1</v>
      </c>
      <c r="AM45" s="432">
        <f t="shared" si="39"/>
        <v>9000</v>
      </c>
      <c r="AN45" s="429">
        <v>30000</v>
      </c>
      <c r="AO45" s="430"/>
      <c r="AP45" s="431">
        <v>1</v>
      </c>
      <c r="AQ45" s="432">
        <f t="shared" si="40"/>
        <v>9000</v>
      </c>
      <c r="AR45" s="429">
        <v>30000</v>
      </c>
      <c r="AS45" s="430"/>
      <c r="AT45" s="431">
        <v>1</v>
      </c>
      <c r="AU45" s="432">
        <f t="shared" ref="AU45" si="45">AR45*30%</f>
        <v>9000</v>
      </c>
      <c r="AV45" s="429">
        <v>30000</v>
      </c>
      <c r="AW45" s="430"/>
      <c r="AX45" s="431">
        <v>1</v>
      </c>
      <c r="AY45" s="432">
        <f t="shared" ref="AY45" si="46">AV45*30%</f>
        <v>9000</v>
      </c>
      <c r="AZ45" s="690">
        <f t="shared" si="14"/>
        <v>60</v>
      </c>
      <c r="BA45" s="691"/>
      <c r="BB45" s="691"/>
      <c r="BC45" s="624"/>
      <c r="BD45" s="692"/>
      <c r="BE45" s="692">
        <f t="shared" si="35"/>
        <v>30000</v>
      </c>
      <c r="BF45" s="692">
        <f t="shared" si="15"/>
        <v>9060</v>
      </c>
      <c r="BG45" s="214">
        <f t="shared" si="16"/>
        <v>173095.19</v>
      </c>
      <c r="BH45" s="214">
        <f t="shared" si="43"/>
        <v>203095.19</v>
      </c>
      <c r="BI45" s="214">
        <f t="shared" si="44"/>
        <v>233095.19</v>
      </c>
      <c r="BJ45" s="214">
        <f t="shared" si="6"/>
        <v>263095.19</v>
      </c>
      <c r="BK45" s="214">
        <f t="shared" si="7"/>
        <v>293095.19</v>
      </c>
      <c r="BL45" s="214">
        <f t="shared" si="8"/>
        <v>323095.19</v>
      </c>
      <c r="BM45" s="214">
        <f t="shared" si="9"/>
        <v>353095.19</v>
      </c>
      <c r="BN45" s="214"/>
      <c r="BO45" s="214">
        <f t="shared" si="30"/>
        <v>-338904.81</v>
      </c>
      <c r="BP45" s="214">
        <f t="shared" si="30"/>
        <v>-308904.81</v>
      </c>
      <c r="BQ45" s="214">
        <f t="shared" si="30"/>
        <v>-278904.81</v>
      </c>
      <c r="BR45" s="214">
        <f t="shared" si="30"/>
        <v>-248904.81</v>
      </c>
      <c r="BS45" s="214">
        <f t="shared" si="30"/>
        <v>-218904.81</v>
      </c>
      <c r="BT45" s="214">
        <f t="shared" si="30"/>
        <v>-188904.81</v>
      </c>
      <c r="BU45" s="214">
        <f t="shared" si="30"/>
        <v>-158904.81</v>
      </c>
    </row>
    <row r="46" spans="1:73" s="215" customFormat="1" x14ac:dyDescent="0.2">
      <c r="A46" s="201">
        <v>32</v>
      </c>
      <c r="B46" s="202">
        <v>28</v>
      </c>
      <c r="C46" s="203" t="s">
        <v>151</v>
      </c>
      <c r="D46" s="204">
        <f>14437.5+44000</f>
        <v>58437.5</v>
      </c>
      <c r="E46" s="205"/>
      <c r="F46" s="206">
        <v>1</v>
      </c>
      <c r="G46" s="207">
        <f t="shared" si="11"/>
        <v>17531.25</v>
      </c>
      <c r="H46" s="208">
        <v>99000</v>
      </c>
      <c r="I46" s="209"/>
      <c r="J46" s="210">
        <v>1</v>
      </c>
      <c r="K46" s="211">
        <f t="shared" si="12"/>
        <v>29700</v>
      </c>
      <c r="L46" s="208">
        <v>99000</v>
      </c>
      <c r="M46" s="212"/>
      <c r="N46" s="210">
        <v>1</v>
      </c>
      <c r="O46" s="211">
        <f t="shared" si="13"/>
        <v>29700</v>
      </c>
      <c r="P46" s="208">
        <v>99000</v>
      </c>
      <c r="Q46" s="209"/>
      <c r="R46" s="210">
        <v>1</v>
      </c>
      <c r="S46" s="211">
        <f t="shared" si="19"/>
        <v>29700</v>
      </c>
      <c r="T46" s="278">
        <v>99000</v>
      </c>
      <c r="U46" s="213"/>
      <c r="V46" s="210">
        <v>1</v>
      </c>
      <c r="W46" s="211">
        <f t="shared" si="34"/>
        <v>29700</v>
      </c>
      <c r="X46" s="594">
        <v>99000</v>
      </c>
      <c r="Y46" s="213"/>
      <c r="Z46" s="210">
        <v>1</v>
      </c>
      <c r="AA46" s="597">
        <f>(553437.5-512000)*10%+(99000-41437.5)*30%</f>
        <v>21412.5</v>
      </c>
      <c r="AB46" s="450">
        <v>97432.74</v>
      </c>
      <c r="AC46" s="465">
        <v>7432.74</v>
      </c>
      <c r="AD46" s="466">
        <v>1</v>
      </c>
      <c r="AE46" s="453">
        <f>AB46*10%</f>
        <v>9743.27</v>
      </c>
      <c r="AF46" s="450">
        <v>108205.32</v>
      </c>
      <c r="AG46" s="465">
        <v>56553.15</v>
      </c>
      <c r="AH46" s="466">
        <v>1</v>
      </c>
      <c r="AI46" s="453">
        <f>AF46*10%</f>
        <v>10820.53</v>
      </c>
      <c r="AJ46" s="450">
        <v>99000</v>
      </c>
      <c r="AK46" s="576"/>
      <c r="AL46" s="509">
        <v>1</v>
      </c>
      <c r="AM46" s="453">
        <f>AJ46*10%</f>
        <v>9900</v>
      </c>
      <c r="AN46" s="450">
        <v>110183.12</v>
      </c>
      <c r="AO46" s="576">
        <v>19313.55</v>
      </c>
      <c r="AP46" s="509">
        <v>1</v>
      </c>
      <c r="AQ46" s="453">
        <f>AN46*10%</f>
        <v>11018.31</v>
      </c>
      <c r="AR46" s="450">
        <v>94547.62</v>
      </c>
      <c r="AS46" s="576"/>
      <c r="AT46" s="509">
        <v>1</v>
      </c>
      <c r="AU46" s="453">
        <f>AR46*10%</f>
        <v>9454.76</v>
      </c>
      <c r="AV46" s="450">
        <v>104500</v>
      </c>
      <c r="AW46" s="576"/>
      <c r="AX46" s="509">
        <v>1</v>
      </c>
      <c r="AY46" s="453">
        <f>AV46*10%</f>
        <v>10450</v>
      </c>
      <c r="AZ46" s="690">
        <f t="shared" si="14"/>
        <v>209</v>
      </c>
      <c r="BA46" s="691"/>
      <c r="BB46" s="691"/>
      <c r="BC46" s="693">
        <f>AV46*$BD$73</f>
        <v>209000</v>
      </c>
      <c r="BD46" s="694">
        <f>BC46*10.2%</f>
        <v>21318</v>
      </c>
      <c r="BE46" s="692">
        <f t="shared" si="35"/>
        <v>313500</v>
      </c>
      <c r="BF46" s="692">
        <f t="shared" si="15"/>
        <v>31977</v>
      </c>
      <c r="BG46" s="454">
        <f t="shared" si="16"/>
        <v>553437.5</v>
      </c>
      <c r="BH46" s="454">
        <f t="shared" si="43"/>
        <v>650870.24</v>
      </c>
      <c r="BI46" s="454">
        <f t="shared" si="44"/>
        <v>759075.56</v>
      </c>
      <c r="BJ46" s="454">
        <f t="shared" si="6"/>
        <v>858075.56</v>
      </c>
      <c r="BK46" s="454">
        <f t="shared" si="7"/>
        <v>968258.68</v>
      </c>
      <c r="BL46" s="454">
        <f t="shared" si="8"/>
        <v>1062806.3</v>
      </c>
      <c r="BM46" s="454">
        <f t="shared" si="9"/>
        <v>1167306.3</v>
      </c>
      <c r="BN46" s="214"/>
      <c r="BO46" s="266">
        <f t="shared" si="30"/>
        <v>41437.5</v>
      </c>
      <c r="BP46" s="455">
        <f t="shared" si="30"/>
        <v>138870.24</v>
      </c>
      <c r="BQ46" s="455">
        <f t="shared" si="30"/>
        <v>247075.56</v>
      </c>
      <c r="BR46" s="455">
        <f t="shared" si="30"/>
        <v>346075.56</v>
      </c>
      <c r="BS46" s="455">
        <f t="shared" si="30"/>
        <v>456258.68</v>
      </c>
      <c r="BT46" s="455">
        <f t="shared" si="30"/>
        <v>550806.30000000005</v>
      </c>
      <c r="BU46" s="455">
        <f t="shared" si="30"/>
        <v>655306.30000000005</v>
      </c>
    </row>
    <row r="47" spans="1:73" s="215" customFormat="1" x14ac:dyDescent="0.2">
      <c r="A47" s="201">
        <v>33</v>
      </c>
      <c r="B47" s="202">
        <v>52</v>
      </c>
      <c r="C47" s="203" t="s">
        <v>152</v>
      </c>
      <c r="D47" s="204">
        <v>13500</v>
      </c>
      <c r="E47" s="205"/>
      <c r="F47" s="206">
        <v>0.5</v>
      </c>
      <c r="G47" s="207">
        <f t="shared" si="11"/>
        <v>4050</v>
      </c>
      <c r="H47" s="208">
        <v>15000</v>
      </c>
      <c r="I47" s="209"/>
      <c r="J47" s="210">
        <v>0.5</v>
      </c>
      <c r="K47" s="211">
        <f t="shared" si="12"/>
        <v>4500</v>
      </c>
      <c r="L47" s="208">
        <f>714.29+13003.2</f>
        <v>13717.49</v>
      </c>
      <c r="M47" s="212">
        <v>13003.2</v>
      </c>
      <c r="N47" s="210">
        <v>0.5</v>
      </c>
      <c r="O47" s="211">
        <f t="shared" si="13"/>
        <v>4115.25</v>
      </c>
      <c r="P47" s="208">
        <v>15000</v>
      </c>
      <c r="Q47" s="209"/>
      <c r="R47" s="210">
        <v>0.5</v>
      </c>
      <c r="S47" s="211">
        <f t="shared" si="19"/>
        <v>4500</v>
      </c>
      <c r="T47" s="208">
        <v>15000</v>
      </c>
      <c r="U47" s="213"/>
      <c r="V47" s="210">
        <v>0.5</v>
      </c>
      <c r="W47" s="211">
        <f t="shared" si="34"/>
        <v>4500</v>
      </c>
      <c r="X47" s="208">
        <v>15000</v>
      </c>
      <c r="Y47" s="213"/>
      <c r="Z47" s="210">
        <v>0.5</v>
      </c>
      <c r="AA47" s="211">
        <f t="shared" si="36"/>
        <v>4500</v>
      </c>
      <c r="AB47" s="429">
        <v>15000</v>
      </c>
      <c r="AC47" s="430"/>
      <c r="AD47" s="431">
        <v>0.5</v>
      </c>
      <c r="AE47" s="432">
        <f t="shared" ref="AE47:AE69" si="47">AB47*30%</f>
        <v>4500</v>
      </c>
      <c r="AF47" s="429">
        <v>15000</v>
      </c>
      <c r="AG47" s="430"/>
      <c r="AH47" s="431">
        <v>0.5</v>
      </c>
      <c r="AI47" s="432">
        <f t="shared" ref="AI47:AI69" si="48">AF47*30%</f>
        <v>4500</v>
      </c>
      <c r="AJ47" s="429">
        <v>15000</v>
      </c>
      <c r="AK47" s="430"/>
      <c r="AL47" s="431">
        <v>0.5</v>
      </c>
      <c r="AM47" s="432">
        <f t="shared" ref="AM47:AM68" si="49">AJ47*30%</f>
        <v>4500</v>
      </c>
      <c r="AN47" s="429">
        <v>15000</v>
      </c>
      <c r="AO47" s="430"/>
      <c r="AP47" s="431">
        <v>0.5</v>
      </c>
      <c r="AQ47" s="432">
        <f t="shared" ref="AQ47:AQ60" si="50">AN47*30%</f>
        <v>4500</v>
      </c>
      <c r="AR47" s="429">
        <v>15000</v>
      </c>
      <c r="AS47" s="430"/>
      <c r="AT47" s="431">
        <v>0.5</v>
      </c>
      <c r="AU47" s="432">
        <f t="shared" ref="AU47:AU62" si="51">AR47*30%</f>
        <v>4500</v>
      </c>
      <c r="AV47" s="429">
        <v>15000</v>
      </c>
      <c r="AW47" s="430"/>
      <c r="AX47" s="431">
        <v>0.5</v>
      </c>
      <c r="AY47" s="432">
        <f t="shared" ref="AY47:AY48" si="52">AV47*30%</f>
        <v>4500</v>
      </c>
      <c r="AZ47" s="690">
        <f t="shared" si="14"/>
        <v>30</v>
      </c>
      <c r="BA47" s="691"/>
      <c r="BB47" s="691"/>
      <c r="BC47" s="624"/>
      <c r="BD47" s="692"/>
      <c r="BE47" s="692">
        <f t="shared" si="35"/>
        <v>15000</v>
      </c>
      <c r="BF47" s="692">
        <f t="shared" si="15"/>
        <v>4530</v>
      </c>
      <c r="BG47" s="214">
        <f t="shared" si="16"/>
        <v>87217.49</v>
      </c>
      <c r="BH47" s="214">
        <f t="shared" si="43"/>
        <v>102217.49</v>
      </c>
      <c r="BI47" s="214">
        <f t="shared" si="44"/>
        <v>117217.49</v>
      </c>
      <c r="BJ47" s="214">
        <f t="shared" si="6"/>
        <v>132217.49</v>
      </c>
      <c r="BK47" s="214">
        <f t="shared" si="7"/>
        <v>147217.49</v>
      </c>
      <c r="BL47" s="214">
        <f t="shared" si="8"/>
        <v>162217.49</v>
      </c>
      <c r="BM47" s="214">
        <f t="shared" si="9"/>
        <v>177217.49</v>
      </c>
      <c r="BN47" s="214"/>
      <c r="BO47" s="214">
        <f t="shared" si="30"/>
        <v>-424782.51</v>
      </c>
      <c r="BP47" s="214">
        <f t="shared" si="30"/>
        <v>-409782.51</v>
      </c>
      <c r="BQ47" s="214">
        <f t="shared" si="30"/>
        <v>-394782.51</v>
      </c>
      <c r="BR47" s="214">
        <f t="shared" si="30"/>
        <v>-379782.51</v>
      </c>
      <c r="BS47" s="214">
        <f t="shared" si="30"/>
        <v>-364782.51</v>
      </c>
      <c r="BT47" s="214">
        <f t="shared" si="30"/>
        <v>-349782.51</v>
      </c>
      <c r="BU47" s="214">
        <f t="shared" si="30"/>
        <v>-334782.51</v>
      </c>
    </row>
    <row r="48" spans="1:73" s="215" customFormat="1" x14ac:dyDescent="0.2">
      <c r="A48" s="201">
        <v>34</v>
      </c>
      <c r="B48" s="202">
        <v>147</v>
      </c>
      <c r="C48" s="203" t="s">
        <v>153</v>
      </c>
      <c r="D48" s="204">
        <v>22000</v>
      </c>
      <c r="E48" s="205"/>
      <c r="F48" s="206">
        <v>0.5</v>
      </c>
      <c r="G48" s="207">
        <f t="shared" si="11"/>
        <v>6600</v>
      </c>
      <c r="H48" s="208">
        <v>33000</v>
      </c>
      <c r="I48" s="209"/>
      <c r="J48" s="210">
        <v>0.5</v>
      </c>
      <c r="K48" s="211">
        <f t="shared" si="12"/>
        <v>9900</v>
      </c>
      <c r="L48" s="208">
        <v>33000</v>
      </c>
      <c r="M48" s="212"/>
      <c r="N48" s="210">
        <v>0.5</v>
      </c>
      <c r="O48" s="211">
        <f t="shared" si="13"/>
        <v>9900</v>
      </c>
      <c r="P48" s="208">
        <f>25142.85+6163.43</f>
        <v>31306.28</v>
      </c>
      <c r="Q48" s="212">
        <v>6163.43</v>
      </c>
      <c r="R48" s="210">
        <v>0.5</v>
      </c>
      <c r="S48" s="211">
        <f t="shared" si="19"/>
        <v>9391.8799999999992</v>
      </c>
      <c r="T48" s="208">
        <v>33000</v>
      </c>
      <c r="U48" s="212"/>
      <c r="V48" s="210">
        <v>0.5</v>
      </c>
      <c r="W48" s="211">
        <f t="shared" si="34"/>
        <v>9900</v>
      </c>
      <c r="X48" s="208">
        <v>33000</v>
      </c>
      <c r="Y48" s="212"/>
      <c r="Z48" s="210">
        <v>0.5</v>
      </c>
      <c r="AA48" s="211">
        <f t="shared" si="36"/>
        <v>9900</v>
      </c>
      <c r="AB48" s="429">
        <v>33000</v>
      </c>
      <c r="AC48" s="458"/>
      <c r="AD48" s="431">
        <v>0.5</v>
      </c>
      <c r="AE48" s="432">
        <f t="shared" si="47"/>
        <v>9900</v>
      </c>
      <c r="AF48" s="429">
        <v>33000</v>
      </c>
      <c r="AG48" s="458"/>
      <c r="AH48" s="431">
        <v>0.5</v>
      </c>
      <c r="AI48" s="432">
        <f t="shared" si="48"/>
        <v>9900</v>
      </c>
      <c r="AJ48" s="429">
        <v>33000</v>
      </c>
      <c r="AK48" s="458"/>
      <c r="AL48" s="431">
        <v>0.5</v>
      </c>
      <c r="AM48" s="432">
        <f t="shared" si="49"/>
        <v>9900</v>
      </c>
      <c r="AN48" s="429">
        <v>32629.439999999999</v>
      </c>
      <c r="AO48" s="458">
        <v>15412.05</v>
      </c>
      <c r="AP48" s="431">
        <v>0.5</v>
      </c>
      <c r="AQ48" s="432">
        <f t="shared" si="50"/>
        <v>9788.83</v>
      </c>
      <c r="AR48" s="429">
        <v>33000</v>
      </c>
      <c r="AS48" s="458"/>
      <c r="AT48" s="431">
        <v>0.5</v>
      </c>
      <c r="AU48" s="432">
        <f t="shared" si="51"/>
        <v>9900</v>
      </c>
      <c r="AV48" s="429">
        <v>33000</v>
      </c>
      <c r="AW48" s="458"/>
      <c r="AX48" s="431">
        <v>0.5</v>
      </c>
      <c r="AY48" s="432">
        <f t="shared" si="52"/>
        <v>9900</v>
      </c>
      <c r="AZ48" s="690">
        <f t="shared" si="14"/>
        <v>66</v>
      </c>
      <c r="BA48" s="691"/>
      <c r="BB48" s="691"/>
      <c r="BC48" s="624"/>
      <c r="BD48" s="692"/>
      <c r="BE48" s="692">
        <f t="shared" si="35"/>
        <v>33000</v>
      </c>
      <c r="BF48" s="692">
        <f t="shared" si="15"/>
        <v>9966</v>
      </c>
      <c r="BG48" s="214">
        <f t="shared" si="16"/>
        <v>185306.28</v>
      </c>
      <c r="BH48" s="214">
        <f t="shared" si="43"/>
        <v>218306.28</v>
      </c>
      <c r="BI48" s="214">
        <f t="shared" si="44"/>
        <v>251306.28</v>
      </c>
      <c r="BJ48" s="214">
        <f t="shared" si="6"/>
        <v>284306.28000000003</v>
      </c>
      <c r="BK48" s="214">
        <f t="shared" si="7"/>
        <v>316935.71999999997</v>
      </c>
      <c r="BL48" s="214">
        <f t="shared" si="8"/>
        <v>349935.72</v>
      </c>
      <c r="BM48" s="214">
        <f t="shared" si="9"/>
        <v>382935.72</v>
      </c>
      <c r="BN48" s="214"/>
      <c r="BO48" s="214">
        <f t="shared" si="30"/>
        <v>-326693.71999999997</v>
      </c>
      <c r="BP48" s="214">
        <f t="shared" si="30"/>
        <v>-293693.71999999997</v>
      </c>
      <c r="BQ48" s="214">
        <f t="shared" si="30"/>
        <v>-260693.72</v>
      </c>
      <c r="BR48" s="214">
        <f t="shared" si="30"/>
        <v>-227693.72</v>
      </c>
      <c r="BS48" s="214">
        <f t="shared" si="30"/>
        <v>-195064.28</v>
      </c>
      <c r="BT48" s="214">
        <f t="shared" si="30"/>
        <v>-162064.28</v>
      </c>
      <c r="BU48" s="214">
        <f t="shared" si="30"/>
        <v>-129064.28</v>
      </c>
    </row>
    <row r="49" spans="1:73" s="215" customFormat="1" x14ac:dyDescent="0.2">
      <c r="A49" s="201">
        <v>35</v>
      </c>
      <c r="B49" s="202">
        <v>114</v>
      </c>
      <c r="C49" s="203" t="s">
        <v>154</v>
      </c>
      <c r="D49" s="204">
        <v>35000</v>
      </c>
      <c r="E49" s="205"/>
      <c r="F49" s="206">
        <v>1</v>
      </c>
      <c r="G49" s="207">
        <f t="shared" si="11"/>
        <v>10500</v>
      </c>
      <c r="H49" s="208">
        <v>50000</v>
      </c>
      <c r="I49" s="209"/>
      <c r="J49" s="210">
        <v>1</v>
      </c>
      <c r="K49" s="211">
        <f t="shared" si="12"/>
        <v>15000</v>
      </c>
      <c r="L49" s="208">
        <v>50000</v>
      </c>
      <c r="M49" s="212"/>
      <c r="N49" s="210">
        <v>1</v>
      </c>
      <c r="O49" s="211">
        <f t="shared" si="13"/>
        <v>15000</v>
      </c>
      <c r="P49" s="208">
        <f>42857.14+3861.9</f>
        <v>46719.040000000001</v>
      </c>
      <c r="Q49" s="212">
        <v>3861.9</v>
      </c>
      <c r="R49" s="210">
        <v>1</v>
      </c>
      <c r="S49" s="211">
        <f t="shared" si="19"/>
        <v>14015.71</v>
      </c>
      <c r="T49" s="208">
        <v>50000</v>
      </c>
      <c r="U49" s="212"/>
      <c r="V49" s="210">
        <v>1</v>
      </c>
      <c r="W49" s="211">
        <f t="shared" si="34"/>
        <v>15000</v>
      </c>
      <c r="X49" s="208">
        <v>69698.880000000005</v>
      </c>
      <c r="Y49" s="212">
        <v>24698.880000000001</v>
      </c>
      <c r="Z49" s="210">
        <v>1</v>
      </c>
      <c r="AA49" s="211">
        <f t="shared" si="36"/>
        <v>20909.66</v>
      </c>
      <c r="AB49" s="429">
        <v>27272.73</v>
      </c>
      <c r="AC49" s="458"/>
      <c r="AD49" s="431">
        <v>1</v>
      </c>
      <c r="AE49" s="432">
        <f t="shared" si="47"/>
        <v>8181.82</v>
      </c>
      <c r="AF49" s="429">
        <v>50000</v>
      </c>
      <c r="AG49" s="458"/>
      <c r="AH49" s="431">
        <v>1</v>
      </c>
      <c r="AI49" s="432">
        <f t="shared" si="48"/>
        <v>15000</v>
      </c>
      <c r="AJ49" s="429">
        <v>50000</v>
      </c>
      <c r="AK49" s="458"/>
      <c r="AL49" s="431">
        <v>1</v>
      </c>
      <c r="AM49" s="432">
        <f t="shared" si="49"/>
        <v>15000</v>
      </c>
      <c r="AN49" s="429">
        <v>60000</v>
      </c>
      <c r="AO49" s="458"/>
      <c r="AP49" s="431">
        <v>1</v>
      </c>
      <c r="AQ49" s="432">
        <f t="shared" si="50"/>
        <v>18000</v>
      </c>
      <c r="AR49" s="450">
        <v>60000</v>
      </c>
      <c r="AS49" s="458"/>
      <c r="AT49" s="431">
        <v>1</v>
      </c>
      <c r="AU49" s="453">
        <f>(548690.65-512000)*10%+(60000-36690.65)*30%</f>
        <v>10661.87</v>
      </c>
      <c r="AV49" s="450">
        <v>60000</v>
      </c>
      <c r="AW49" s="458"/>
      <c r="AX49" s="431">
        <v>1</v>
      </c>
      <c r="AY49" s="453">
        <f>AV49*10%</f>
        <v>6000</v>
      </c>
      <c r="AZ49" s="690">
        <f t="shared" si="14"/>
        <v>120</v>
      </c>
      <c r="BA49" s="691"/>
      <c r="BB49" s="691"/>
      <c r="BC49" s="693">
        <f>AV49*$BD$73</f>
        <v>120000</v>
      </c>
      <c r="BD49" s="694">
        <f>BC49*10.2%</f>
        <v>12240</v>
      </c>
      <c r="BE49" s="692">
        <f t="shared" si="35"/>
        <v>180000</v>
      </c>
      <c r="BF49" s="692">
        <f t="shared" si="15"/>
        <v>18360</v>
      </c>
      <c r="BG49" s="214">
        <f t="shared" si="16"/>
        <v>301417.92</v>
      </c>
      <c r="BH49" s="214">
        <f t="shared" si="43"/>
        <v>328690.65000000002</v>
      </c>
      <c r="BI49" s="214">
        <f t="shared" si="44"/>
        <v>378690.65</v>
      </c>
      <c r="BJ49" s="214">
        <f t="shared" si="6"/>
        <v>428690.65</v>
      </c>
      <c r="BK49" s="214">
        <f t="shared" si="7"/>
        <v>488690.65</v>
      </c>
      <c r="BL49" s="454">
        <f t="shared" si="8"/>
        <v>548690.65</v>
      </c>
      <c r="BM49" s="454">
        <f t="shared" si="9"/>
        <v>608690.65</v>
      </c>
      <c r="BN49" s="214"/>
      <c r="BO49" s="214">
        <f t="shared" si="30"/>
        <v>-210582.08</v>
      </c>
      <c r="BP49" s="214">
        <f t="shared" si="30"/>
        <v>-183309.35</v>
      </c>
      <c r="BQ49" s="214">
        <f>BI49-512000</f>
        <v>-133309.35</v>
      </c>
      <c r="BR49" s="214">
        <f t="shared" si="30"/>
        <v>-83309.350000000006</v>
      </c>
      <c r="BS49" s="214">
        <f t="shared" si="30"/>
        <v>-23309.35</v>
      </c>
      <c r="BT49" s="455">
        <f t="shared" si="30"/>
        <v>36690.65</v>
      </c>
      <c r="BU49" s="455">
        <f t="shared" si="30"/>
        <v>96690.65</v>
      </c>
    </row>
    <row r="50" spans="1:73" s="215" customFormat="1" x14ac:dyDescent="0.2">
      <c r="A50" s="470"/>
      <c r="B50" s="471">
        <v>153</v>
      </c>
      <c r="C50" s="602" t="s">
        <v>207</v>
      </c>
      <c r="D50" s="603"/>
      <c r="E50" s="604"/>
      <c r="F50" s="605"/>
      <c r="G50" s="606"/>
      <c r="H50" s="607"/>
      <c r="I50" s="608"/>
      <c r="J50" s="605"/>
      <c r="K50" s="609"/>
      <c r="L50" s="607"/>
      <c r="M50" s="610"/>
      <c r="N50" s="605"/>
      <c r="O50" s="609"/>
      <c r="P50" s="607"/>
      <c r="Q50" s="610"/>
      <c r="R50" s="605"/>
      <c r="S50" s="609"/>
      <c r="T50" s="607"/>
      <c r="U50" s="610"/>
      <c r="V50" s="605"/>
      <c r="W50" s="609"/>
      <c r="X50" s="607"/>
      <c r="Y50" s="610"/>
      <c r="Z50" s="605"/>
      <c r="AA50" s="609"/>
      <c r="AB50" s="611">
        <v>50000</v>
      </c>
      <c r="AC50" s="612"/>
      <c r="AD50" s="613">
        <v>1</v>
      </c>
      <c r="AE50" s="614">
        <f t="shared" si="47"/>
        <v>15000</v>
      </c>
      <c r="AF50" s="611">
        <v>50000</v>
      </c>
      <c r="AG50" s="612"/>
      <c r="AH50" s="613">
        <v>1</v>
      </c>
      <c r="AI50" s="614">
        <f t="shared" si="48"/>
        <v>15000</v>
      </c>
      <c r="AJ50" s="611">
        <v>50000</v>
      </c>
      <c r="AK50" s="612"/>
      <c r="AL50" s="613">
        <v>1</v>
      </c>
      <c r="AM50" s="614">
        <f t="shared" si="49"/>
        <v>15000</v>
      </c>
      <c r="AN50" s="611">
        <v>20730.05</v>
      </c>
      <c r="AO50" s="612"/>
      <c r="AP50" s="613">
        <f>4/31</f>
        <v>0.129</v>
      </c>
      <c r="AQ50" s="614">
        <f t="shared" si="50"/>
        <v>6219.02</v>
      </c>
      <c r="AR50" s="611">
        <v>0</v>
      </c>
      <c r="AS50" s="612"/>
      <c r="AT50" s="613">
        <v>0</v>
      </c>
      <c r="AU50" s="614">
        <f t="shared" si="51"/>
        <v>0</v>
      </c>
      <c r="AV50" s="611">
        <v>0</v>
      </c>
      <c r="AW50" s="612"/>
      <c r="AX50" s="613">
        <v>0</v>
      </c>
      <c r="AY50" s="614">
        <f t="shared" ref="AY50:AY60" si="53">AV50*30%</f>
        <v>0</v>
      </c>
      <c r="AZ50" s="690">
        <f t="shared" si="14"/>
        <v>0</v>
      </c>
      <c r="BA50" s="691"/>
      <c r="BB50" s="691"/>
      <c r="BC50" s="624"/>
      <c r="BD50" s="692"/>
      <c r="BE50" s="692"/>
      <c r="BF50" s="692">
        <f t="shared" si="15"/>
        <v>0</v>
      </c>
      <c r="BG50" s="214"/>
      <c r="BH50" s="214">
        <f t="shared" si="43"/>
        <v>50000</v>
      </c>
      <c r="BI50" s="214">
        <f t="shared" si="44"/>
        <v>100000</v>
      </c>
      <c r="BJ50" s="214">
        <f t="shared" si="6"/>
        <v>150000</v>
      </c>
      <c r="BK50" s="214">
        <f t="shared" si="7"/>
        <v>170730.05</v>
      </c>
      <c r="BL50" s="214">
        <f t="shared" si="8"/>
        <v>170730.05</v>
      </c>
      <c r="BM50" s="214">
        <f t="shared" si="9"/>
        <v>170730.05</v>
      </c>
      <c r="BN50" s="214"/>
      <c r="BO50" s="214"/>
      <c r="BP50" s="214">
        <f t="shared" si="30"/>
        <v>-462000</v>
      </c>
      <c r="BQ50" s="214">
        <f t="shared" si="30"/>
        <v>-412000</v>
      </c>
      <c r="BR50" s="214">
        <f t="shared" si="30"/>
        <v>-362000</v>
      </c>
      <c r="BS50" s="214">
        <f t="shared" si="30"/>
        <v>-341269.95</v>
      </c>
      <c r="BT50" s="214">
        <f t="shared" si="30"/>
        <v>-341269.95</v>
      </c>
      <c r="BU50" s="214">
        <f t="shared" si="30"/>
        <v>-341269.95</v>
      </c>
    </row>
    <row r="51" spans="1:73" s="215" customFormat="1" x14ac:dyDescent="0.2">
      <c r="A51" s="201">
        <v>47</v>
      </c>
      <c r="B51" s="471">
        <v>161</v>
      </c>
      <c r="C51" s="472" t="s">
        <v>292</v>
      </c>
      <c r="D51" s="204"/>
      <c r="E51" s="205"/>
      <c r="F51" s="206"/>
      <c r="G51" s="207"/>
      <c r="H51" s="208"/>
      <c r="I51" s="209"/>
      <c r="J51" s="210"/>
      <c r="K51" s="211"/>
      <c r="L51" s="208"/>
      <c r="M51" s="212"/>
      <c r="N51" s="210"/>
      <c r="O51" s="211"/>
      <c r="P51" s="208"/>
      <c r="Q51" s="212"/>
      <c r="R51" s="210"/>
      <c r="S51" s="211"/>
      <c r="T51" s="208"/>
      <c r="U51" s="212"/>
      <c r="V51" s="210"/>
      <c r="W51" s="211"/>
      <c r="X51" s="208"/>
      <c r="Y51" s="212"/>
      <c r="Z51" s="210"/>
      <c r="AA51" s="211"/>
      <c r="AB51" s="429"/>
      <c r="AC51" s="458"/>
      <c r="AD51" s="431"/>
      <c r="AE51" s="432"/>
      <c r="AF51" s="429"/>
      <c r="AG51" s="458"/>
      <c r="AH51" s="431"/>
      <c r="AI51" s="432"/>
      <c r="AJ51" s="429">
        <v>22500</v>
      </c>
      <c r="AK51" s="458"/>
      <c r="AL51" s="431">
        <v>0.5</v>
      </c>
      <c r="AM51" s="432">
        <f t="shared" si="49"/>
        <v>6750</v>
      </c>
      <c r="AN51" s="429">
        <v>22500</v>
      </c>
      <c r="AO51" s="458"/>
      <c r="AP51" s="431">
        <v>0.5</v>
      </c>
      <c r="AQ51" s="432">
        <f t="shared" si="50"/>
        <v>6750</v>
      </c>
      <c r="AR51" s="429">
        <v>22500</v>
      </c>
      <c r="AS51" s="458"/>
      <c r="AT51" s="431">
        <v>0.5</v>
      </c>
      <c r="AU51" s="432">
        <f t="shared" si="51"/>
        <v>6750</v>
      </c>
      <c r="AV51" s="429">
        <v>22500</v>
      </c>
      <c r="AW51" s="458"/>
      <c r="AX51" s="431">
        <v>0.5</v>
      </c>
      <c r="AY51" s="432">
        <f t="shared" si="53"/>
        <v>6750</v>
      </c>
      <c r="AZ51" s="690">
        <f t="shared" si="14"/>
        <v>45</v>
      </c>
      <c r="BA51" s="691"/>
      <c r="BB51" s="691"/>
      <c r="BC51" s="624"/>
      <c r="BD51" s="692"/>
      <c r="BE51" s="692">
        <f t="shared" ref="BE51:BE63" si="54">AV51+BC51</f>
        <v>22500</v>
      </c>
      <c r="BF51" s="692">
        <f t="shared" si="15"/>
        <v>6795</v>
      </c>
      <c r="BJ51" s="214">
        <f t="shared" si="6"/>
        <v>22500</v>
      </c>
      <c r="BK51" s="214">
        <f t="shared" si="7"/>
        <v>45000</v>
      </c>
      <c r="BL51" s="214">
        <f t="shared" si="8"/>
        <v>67500</v>
      </c>
      <c r="BM51" s="214">
        <f t="shared" si="9"/>
        <v>90000</v>
      </c>
      <c r="BR51" s="214">
        <f t="shared" si="30"/>
        <v>-489500</v>
      </c>
      <c r="BS51" s="214">
        <f t="shared" si="30"/>
        <v>-467000</v>
      </c>
      <c r="BT51" s="214">
        <f t="shared" si="30"/>
        <v>-444500</v>
      </c>
      <c r="BU51" s="214">
        <f t="shared" si="30"/>
        <v>-422000</v>
      </c>
    </row>
    <row r="52" spans="1:73" s="215" customFormat="1" x14ac:dyDescent="0.2">
      <c r="A52" s="201">
        <v>48</v>
      </c>
      <c r="B52" s="471">
        <v>159</v>
      </c>
      <c r="C52" s="472" t="s">
        <v>293</v>
      </c>
      <c r="D52" s="204"/>
      <c r="E52" s="205"/>
      <c r="F52" s="206"/>
      <c r="G52" s="207"/>
      <c r="H52" s="208"/>
      <c r="I52" s="209"/>
      <c r="J52" s="210"/>
      <c r="K52" s="211"/>
      <c r="L52" s="208"/>
      <c r="M52" s="212"/>
      <c r="N52" s="210"/>
      <c r="O52" s="211"/>
      <c r="P52" s="208"/>
      <c r="Q52" s="212"/>
      <c r="R52" s="210"/>
      <c r="S52" s="211"/>
      <c r="T52" s="208"/>
      <c r="U52" s="212"/>
      <c r="V52" s="210"/>
      <c r="W52" s="211"/>
      <c r="X52" s="208"/>
      <c r="Y52" s="212"/>
      <c r="Z52" s="210"/>
      <c r="AA52" s="211"/>
      <c r="AB52" s="429"/>
      <c r="AC52" s="458"/>
      <c r="AD52" s="431"/>
      <c r="AE52" s="432"/>
      <c r="AF52" s="429"/>
      <c r="AG52" s="458"/>
      <c r="AH52" s="431"/>
      <c r="AI52" s="432"/>
      <c r="AJ52" s="429">
        <v>12500</v>
      </c>
      <c r="AK52" s="458"/>
      <c r="AL52" s="431">
        <v>0.5</v>
      </c>
      <c r="AM52" s="432">
        <f t="shared" si="49"/>
        <v>3750</v>
      </c>
      <c r="AN52" s="429">
        <v>12500</v>
      </c>
      <c r="AO52" s="458"/>
      <c r="AP52" s="431">
        <v>0.5</v>
      </c>
      <c r="AQ52" s="432">
        <f t="shared" si="50"/>
        <v>3750</v>
      </c>
      <c r="AR52" s="429">
        <v>12500</v>
      </c>
      <c r="AS52" s="458"/>
      <c r="AT52" s="431">
        <v>0.5</v>
      </c>
      <c r="AU52" s="432">
        <f t="shared" si="51"/>
        <v>3750</v>
      </c>
      <c r="AV52" s="429">
        <v>12500</v>
      </c>
      <c r="AW52" s="458"/>
      <c r="AX52" s="431">
        <v>0.5</v>
      </c>
      <c r="AY52" s="432">
        <f t="shared" si="53"/>
        <v>3750</v>
      </c>
      <c r="AZ52" s="690">
        <f t="shared" si="14"/>
        <v>25</v>
      </c>
      <c r="BA52" s="691"/>
      <c r="BB52" s="691"/>
      <c r="BC52" s="624"/>
      <c r="BD52" s="692"/>
      <c r="BE52" s="692">
        <f t="shared" si="54"/>
        <v>12500</v>
      </c>
      <c r="BF52" s="692">
        <f t="shared" si="15"/>
        <v>3775</v>
      </c>
      <c r="BJ52" s="214">
        <f t="shared" si="6"/>
        <v>12500</v>
      </c>
      <c r="BK52" s="214">
        <f t="shared" si="7"/>
        <v>25000</v>
      </c>
      <c r="BL52" s="214">
        <f t="shared" si="8"/>
        <v>37500</v>
      </c>
      <c r="BM52" s="214">
        <f t="shared" si="9"/>
        <v>50000</v>
      </c>
      <c r="BR52" s="214">
        <f t="shared" si="30"/>
        <v>-499500</v>
      </c>
      <c r="BS52" s="214">
        <f t="shared" si="30"/>
        <v>-487000</v>
      </c>
      <c r="BT52" s="214">
        <f t="shared" si="30"/>
        <v>-474500</v>
      </c>
      <c r="BU52" s="214">
        <f t="shared" si="30"/>
        <v>-462000</v>
      </c>
    </row>
    <row r="53" spans="1:73" s="215" customFormat="1" x14ac:dyDescent="0.2">
      <c r="A53" s="201">
        <v>36</v>
      </c>
      <c r="B53" s="202">
        <v>143</v>
      </c>
      <c r="C53" s="203" t="s">
        <v>155</v>
      </c>
      <c r="D53" s="204">
        <v>27000</v>
      </c>
      <c r="E53" s="205"/>
      <c r="F53" s="206">
        <v>1</v>
      </c>
      <c r="G53" s="207">
        <f t="shared" si="11"/>
        <v>8100</v>
      </c>
      <c r="H53" s="208">
        <v>30000</v>
      </c>
      <c r="I53" s="209"/>
      <c r="J53" s="210">
        <v>1</v>
      </c>
      <c r="K53" s="211">
        <f t="shared" si="12"/>
        <v>9000</v>
      </c>
      <c r="L53" s="208">
        <f>1428.57+26190.36</f>
        <v>27618.93</v>
      </c>
      <c r="M53" s="212">
        <v>26190.36</v>
      </c>
      <c r="N53" s="210">
        <v>1</v>
      </c>
      <c r="O53" s="211">
        <f t="shared" si="13"/>
        <v>8285.68</v>
      </c>
      <c r="P53" s="208">
        <v>30000</v>
      </c>
      <c r="Q53" s="209"/>
      <c r="R53" s="210">
        <v>1</v>
      </c>
      <c r="S53" s="211">
        <f t="shared" si="19"/>
        <v>9000</v>
      </c>
      <c r="T53" s="208">
        <v>30000</v>
      </c>
      <c r="U53" s="213"/>
      <c r="V53" s="210">
        <v>1</v>
      </c>
      <c r="W53" s="211">
        <f t="shared" si="34"/>
        <v>9000</v>
      </c>
      <c r="X53" s="208">
        <v>30000</v>
      </c>
      <c r="Y53" s="213"/>
      <c r="Z53" s="210">
        <v>1</v>
      </c>
      <c r="AA53" s="211">
        <f t="shared" si="36"/>
        <v>9000</v>
      </c>
      <c r="AB53" s="429">
        <v>30000</v>
      </c>
      <c r="AC53" s="430"/>
      <c r="AD53" s="431">
        <v>1</v>
      </c>
      <c r="AE53" s="432">
        <f t="shared" si="47"/>
        <v>9000</v>
      </c>
      <c r="AF53" s="429">
        <v>30000</v>
      </c>
      <c r="AG53" s="430"/>
      <c r="AH53" s="431">
        <v>1</v>
      </c>
      <c r="AI53" s="432">
        <f t="shared" si="48"/>
        <v>9000</v>
      </c>
      <c r="AJ53" s="429">
        <v>30000</v>
      </c>
      <c r="AK53" s="430"/>
      <c r="AL53" s="431">
        <v>1</v>
      </c>
      <c r="AM53" s="432">
        <f t="shared" si="49"/>
        <v>9000</v>
      </c>
      <c r="AN53" s="429">
        <v>30000</v>
      </c>
      <c r="AO53" s="430"/>
      <c r="AP53" s="431">
        <v>1</v>
      </c>
      <c r="AQ53" s="432">
        <f t="shared" si="50"/>
        <v>9000</v>
      </c>
      <c r="AR53" s="429">
        <v>30000</v>
      </c>
      <c r="AS53" s="430"/>
      <c r="AT53" s="431">
        <v>1</v>
      </c>
      <c r="AU53" s="432">
        <f t="shared" si="51"/>
        <v>9000</v>
      </c>
      <c r="AV53" s="429">
        <v>30000</v>
      </c>
      <c r="AW53" s="430"/>
      <c r="AX53" s="431">
        <v>1</v>
      </c>
      <c r="AY53" s="432">
        <f t="shared" si="53"/>
        <v>9000</v>
      </c>
      <c r="AZ53" s="690">
        <f t="shared" si="14"/>
        <v>60</v>
      </c>
      <c r="BA53" s="691"/>
      <c r="BB53" s="691"/>
      <c r="BC53" s="624"/>
      <c r="BD53" s="692"/>
      <c r="BE53" s="692">
        <f t="shared" si="54"/>
        <v>30000</v>
      </c>
      <c r="BF53" s="692">
        <f t="shared" si="15"/>
        <v>9060</v>
      </c>
      <c r="BG53" s="214">
        <f t="shared" si="16"/>
        <v>174618.93</v>
      </c>
      <c r="BH53" s="214">
        <f>BG53+AB53</f>
        <v>204618.93</v>
      </c>
      <c r="BI53" s="214">
        <f t="shared" ref="BI53:BI66" si="55">BH53+AF53</f>
        <v>234618.93</v>
      </c>
      <c r="BJ53" s="214">
        <f t="shared" si="6"/>
        <v>264618.93</v>
      </c>
      <c r="BK53" s="214">
        <f t="shared" si="7"/>
        <v>294618.93</v>
      </c>
      <c r="BL53" s="214">
        <f t="shared" si="8"/>
        <v>324618.93</v>
      </c>
      <c r="BM53" s="214">
        <f t="shared" si="9"/>
        <v>354618.93</v>
      </c>
      <c r="BN53" s="214"/>
      <c r="BO53" s="214">
        <f t="shared" si="30"/>
        <v>-337381.07</v>
      </c>
      <c r="BP53" s="214">
        <f t="shared" si="30"/>
        <v>-307381.07</v>
      </c>
      <c r="BQ53" s="214">
        <f t="shared" si="30"/>
        <v>-277381.07</v>
      </c>
      <c r="BR53" s="214">
        <f t="shared" si="30"/>
        <v>-247381.07</v>
      </c>
      <c r="BS53" s="214">
        <f t="shared" si="30"/>
        <v>-217381.07</v>
      </c>
      <c r="BT53" s="214">
        <f t="shared" si="30"/>
        <v>-187381.07</v>
      </c>
      <c r="BU53" s="214">
        <f t="shared" si="30"/>
        <v>-157381.07</v>
      </c>
    </row>
    <row r="54" spans="1:73" s="215" customFormat="1" x14ac:dyDescent="0.2">
      <c r="A54" s="201">
        <v>37</v>
      </c>
      <c r="B54" s="202">
        <v>65</v>
      </c>
      <c r="C54" s="203" t="s">
        <v>156</v>
      </c>
      <c r="D54" s="204">
        <v>35000</v>
      </c>
      <c r="E54" s="205"/>
      <c r="F54" s="206">
        <v>0.5</v>
      </c>
      <c r="G54" s="207">
        <f t="shared" si="11"/>
        <v>10500</v>
      </c>
      <c r="H54" s="208">
        <v>35000</v>
      </c>
      <c r="I54" s="209"/>
      <c r="J54" s="210">
        <v>0.5</v>
      </c>
      <c r="K54" s="211">
        <f t="shared" si="12"/>
        <v>10500</v>
      </c>
      <c r="L54" s="208">
        <f>18333.33+22353.38</f>
        <v>40686.71</v>
      </c>
      <c r="M54" s="212">
        <v>22353.38</v>
      </c>
      <c r="N54" s="210">
        <v>0.5</v>
      </c>
      <c r="O54" s="211">
        <f t="shared" si="13"/>
        <v>12206.01</v>
      </c>
      <c r="P54" s="208">
        <v>35000</v>
      </c>
      <c r="Q54" s="209"/>
      <c r="R54" s="210">
        <v>0.5</v>
      </c>
      <c r="S54" s="211">
        <f t="shared" si="19"/>
        <v>10500</v>
      </c>
      <c r="T54" s="208">
        <v>35000</v>
      </c>
      <c r="U54" s="213"/>
      <c r="V54" s="210">
        <v>0.5</v>
      </c>
      <c r="W54" s="211">
        <f t="shared" si="34"/>
        <v>10500</v>
      </c>
      <c r="X54" s="208">
        <v>35000</v>
      </c>
      <c r="Y54" s="213"/>
      <c r="Z54" s="210">
        <v>0.5</v>
      </c>
      <c r="AA54" s="211">
        <f t="shared" si="36"/>
        <v>10500</v>
      </c>
      <c r="AB54" s="429">
        <v>35000</v>
      </c>
      <c r="AC54" s="430"/>
      <c r="AD54" s="431">
        <v>0.5</v>
      </c>
      <c r="AE54" s="432">
        <f t="shared" si="47"/>
        <v>10500</v>
      </c>
      <c r="AF54" s="429">
        <v>35000</v>
      </c>
      <c r="AG54" s="430"/>
      <c r="AH54" s="431">
        <v>0.5</v>
      </c>
      <c r="AI54" s="432">
        <f t="shared" si="48"/>
        <v>10500</v>
      </c>
      <c r="AJ54" s="429">
        <v>35000</v>
      </c>
      <c r="AK54" s="430"/>
      <c r="AL54" s="431">
        <v>0.5</v>
      </c>
      <c r="AM54" s="432">
        <f t="shared" si="49"/>
        <v>10500</v>
      </c>
      <c r="AN54" s="429">
        <v>35000</v>
      </c>
      <c r="AO54" s="430"/>
      <c r="AP54" s="431">
        <v>0.5</v>
      </c>
      <c r="AQ54" s="432">
        <f t="shared" si="50"/>
        <v>10500</v>
      </c>
      <c r="AR54" s="429">
        <v>35000</v>
      </c>
      <c r="AS54" s="430"/>
      <c r="AT54" s="431">
        <v>0.5</v>
      </c>
      <c r="AU54" s="432">
        <f t="shared" si="51"/>
        <v>10500</v>
      </c>
      <c r="AV54" s="429">
        <v>35000</v>
      </c>
      <c r="AW54" s="430"/>
      <c r="AX54" s="431">
        <v>0.5</v>
      </c>
      <c r="AY54" s="432">
        <f t="shared" si="53"/>
        <v>10500</v>
      </c>
      <c r="AZ54" s="690">
        <f t="shared" si="14"/>
        <v>70</v>
      </c>
      <c r="BA54" s="691"/>
      <c r="BB54" s="691"/>
      <c r="BC54" s="624"/>
      <c r="BD54" s="692"/>
      <c r="BE54" s="692">
        <f t="shared" si="54"/>
        <v>35000</v>
      </c>
      <c r="BF54" s="692">
        <f t="shared" si="15"/>
        <v>10570</v>
      </c>
      <c r="BG54" s="214">
        <f t="shared" si="16"/>
        <v>215686.71</v>
      </c>
      <c r="BH54" s="214">
        <f>BG54+AB54</f>
        <v>250686.71</v>
      </c>
      <c r="BI54" s="214">
        <f t="shared" si="55"/>
        <v>285686.71000000002</v>
      </c>
      <c r="BJ54" s="214">
        <f t="shared" si="6"/>
        <v>320686.71000000002</v>
      </c>
      <c r="BK54" s="214">
        <f t="shared" si="7"/>
        <v>355686.71</v>
      </c>
      <c r="BL54" s="214">
        <f t="shared" si="8"/>
        <v>390686.71</v>
      </c>
      <c r="BM54" s="214">
        <f t="shared" si="9"/>
        <v>425686.71</v>
      </c>
      <c r="BN54" s="214"/>
      <c r="BO54" s="214">
        <f t="shared" si="30"/>
        <v>-296313.28999999998</v>
      </c>
      <c r="BP54" s="214">
        <f t="shared" si="30"/>
        <v>-261313.29</v>
      </c>
      <c r="BQ54" s="214">
        <f t="shared" si="30"/>
        <v>-226313.29</v>
      </c>
      <c r="BR54" s="214">
        <f t="shared" si="30"/>
        <v>-191313.29</v>
      </c>
      <c r="BS54" s="214">
        <f t="shared" si="30"/>
        <v>-156313.29</v>
      </c>
      <c r="BT54" s="214">
        <f t="shared" si="30"/>
        <v>-121313.29</v>
      </c>
      <c r="BU54" s="214">
        <f t="shared" si="30"/>
        <v>-86313.29</v>
      </c>
    </row>
    <row r="55" spans="1:73" s="215" customFormat="1" x14ac:dyDescent="0.2">
      <c r="A55" s="201">
        <v>38</v>
      </c>
      <c r="B55" s="202">
        <v>124</v>
      </c>
      <c r="C55" s="237" t="s">
        <v>157</v>
      </c>
      <c r="D55" s="238">
        <v>13500</v>
      </c>
      <c r="E55" s="239"/>
      <c r="F55" s="240">
        <v>0.5</v>
      </c>
      <c r="G55" s="241">
        <f t="shared" si="11"/>
        <v>4050</v>
      </c>
      <c r="H55" s="242">
        <v>15000</v>
      </c>
      <c r="I55" s="243"/>
      <c r="J55" s="240">
        <v>0.5</v>
      </c>
      <c r="K55" s="244">
        <f t="shared" si="12"/>
        <v>4500</v>
      </c>
      <c r="L55" s="242">
        <f>714.29+12986.96</f>
        <v>13701.25</v>
      </c>
      <c r="M55" s="245">
        <v>12986.96</v>
      </c>
      <c r="N55" s="240">
        <v>0.5</v>
      </c>
      <c r="O55" s="244">
        <f t="shared" si="13"/>
        <v>4110.38</v>
      </c>
      <c r="P55" s="242">
        <v>15000</v>
      </c>
      <c r="Q55" s="243"/>
      <c r="R55" s="240">
        <v>0.5</v>
      </c>
      <c r="S55" s="244">
        <f t="shared" si="19"/>
        <v>4500</v>
      </c>
      <c r="T55" s="242">
        <v>15000</v>
      </c>
      <c r="U55" s="246"/>
      <c r="V55" s="240">
        <v>0.5</v>
      </c>
      <c r="W55" s="244">
        <f t="shared" si="34"/>
        <v>4500</v>
      </c>
      <c r="X55" s="242">
        <v>15000</v>
      </c>
      <c r="Y55" s="246"/>
      <c r="Z55" s="240">
        <v>0.5</v>
      </c>
      <c r="AA55" s="244">
        <f t="shared" si="36"/>
        <v>4500</v>
      </c>
      <c r="AB55" s="439">
        <v>15000</v>
      </c>
      <c r="AC55" s="440"/>
      <c r="AD55" s="441">
        <v>0.5</v>
      </c>
      <c r="AE55" s="442">
        <f t="shared" si="47"/>
        <v>4500</v>
      </c>
      <c r="AF55" s="439">
        <v>15000</v>
      </c>
      <c r="AG55" s="440"/>
      <c r="AH55" s="441">
        <v>0.5</v>
      </c>
      <c r="AI55" s="442">
        <f t="shared" si="48"/>
        <v>4500</v>
      </c>
      <c r="AJ55" s="439">
        <v>15000</v>
      </c>
      <c r="AK55" s="440"/>
      <c r="AL55" s="441">
        <v>0.5</v>
      </c>
      <c r="AM55" s="442">
        <f t="shared" si="49"/>
        <v>4500</v>
      </c>
      <c r="AN55" s="439">
        <v>15000</v>
      </c>
      <c r="AO55" s="440"/>
      <c r="AP55" s="441">
        <v>0.5</v>
      </c>
      <c r="AQ55" s="442">
        <f t="shared" si="50"/>
        <v>4500</v>
      </c>
      <c r="AR55" s="439">
        <v>15000</v>
      </c>
      <c r="AS55" s="440"/>
      <c r="AT55" s="441">
        <v>0.5</v>
      </c>
      <c r="AU55" s="442">
        <f t="shared" si="51"/>
        <v>4500</v>
      </c>
      <c r="AV55" s="439">
        <v>15000</v>
      </c>
      <c r="AW55" s="440"/>
      <c r="AX55" s="441">
        <v>0.5</v>
      </c>
      <c r="AY55" s="442">
        <f t="shared" si="53"/>
        <v>4500</v>
      </c>
      <c r="AZ55" s="690">
        <f t="shared" si="14"/>
        <v>30</v>
      </c>
      <c r="BA55" s="691"/>
      <c r="BB55" s="691"/>
      <c r="BC55" s="624"/>
      <c r="BD55" s="692"/>
      <c r="BE55" s="692">
        <f t="shared" si="54"/>
        <v>15000</v>
      </c>
      <c r="BF55" s="692">
        <f t="shared" si="15"/>
        <v>4530</v>
      </c>
      <c r="BG55" s="214">
        <f t="shared" si="16"/>
        <v>87201.25</v>
      </c>
      <c r="BH55" s="214">
        <f>BG55+AB55</f>
        <v>102201.25</v>
      </c>
      <c r="BI55" s="214">
        <f t="shared" si="55"/>
        <v>117201.25</v>
      </c>
      <c r="BJ55" s="214">
        <f t="shared" si="6"/>
        <v>132201.25</v>
      </c>
      <c r="BK55" s="214">
        <f t="shared" si="7"/>
        <v>147201.25</v>
      </c>
      <c r="BL55" s="214">
        <f t="shared" si="8"/>
        <v>162201.25</v>
      </c>
      <c r="BM55" s="214">
        <f t="shared" si="9"/>
        <v>177201.25</v>
      </c>
      <c r="BN55" s="214"/>
      <c r="BO55" s="214">
        <f t="shared" si="30"/>
        <v>-424798.75</v>
      </c>
      <c r="BP55" s="214">
        <f t="shared" si="30"/>
        <v>-409798.75</v>
      </c>
      <c r="BQ55" s="214">
        <f t="shared" si="30"/>
        <v>-394798.75</v>
      </c>
      <c r="BR55" s="214">
        <f t="shared" si="30"/>
        <v>-379798.75</v>
      </c>
      <c r="BS55" s="214">
        <f t="shared" si="30"/>
        <v>-364798.75</v>
      </c>
      <c r="BT55" s="214">
        <f t="shared" si="30"/>
        <v>-349798.75</v>
      </c>
      <c r="BU55" s="214">
        <f t="shared" si="30"/>
        <v>-334798.75</v>
      </c>
    </row>
    <row r="56" spans="1:73" s="464" customFormat="1" x14ac:dyDescent="0.2">
      <c r="A56" s="473"/>
      <c r="B56" s="474">
        <v>154</v>
      </c>
      <c r="C56" s="475" t="s">
        <v>208</v>
      </c>
      <c r="D56" s="283"/>
      <c r="E56" s="284"/>
      <c r="F56" s="210"/>
      <c r="G56" s="285"/>
      <c r="H56" s="278"/>
      <c r="I56" s="286"/>
      <c r="J56" s="210"/>
      <c r="K56" s="211"/>
      <c r="L56" s="278"/>
      <c r="M56" s="279"/>
      <c r="N56" s="210"/>
      <c r="O56" s="211"/>
      <c r="P56" s="278"/>
      <c r="Q56" s="286"/>
      <c r="R56" s="210"/>
      <c r="S56" s="211"/>
      <c r="T56" s="278"/>
      <c r="U56" s="287"/>
      <c r="V56" s="210"/>
      <c r="W56" s="211"/>
      <c r="X56" s="278"/>
      <c r="Y56" s="287"/>
      <c r="Z56" s="210"/>
      <c r="AA56" s="211"/>
      <c r="AB56" s="462">
        <v>20000</v>
      </c>
      <c r="AC56" s="463"/>
      <c r="AD56" s="431">
        <v>0.5</v>
      </c>
      <c r="AE56" s="432">
        <f t="shared" si="47"/>
        <v>6000</v>
      </c>
      <c r="AF56" s="462">
        <v>20000</v>
      </c>
      <c r="AG56" s="463"/>
      <c r="AH56" s="431">
        <v>0.5</v>
      </c>
      <c r="AI56" s="432">
        <f t="shared" si="48"/>
        <v>6000</v>
      </c>
      <c r="AJ56" s="462">
        <v>20000</v>
      </c>
      <c r="AK56" s="463"/>
      <c r="AL56" s="431">
        <v>0.5</v>
      </c>
      <c r="AM56" s="432">
        <f t="shared" si="49"/>
        <v>6000</v>
      </c>
      <c r="AN56" s="462">
        <v>20000</v>
      </c>
      <c r="AO56" s="463"/>
      <c r="AP56" s="431">
        <v>0.5</v>
      </c>
      <c r="AQ56" s="432">
        <f t="shared" si="50"/>
        <v>6000</v>
      </c>
      <c r="AR56" s="462">
        <v>20000</v>
      </c>
      <c r="AS56" s="463"/>
      <c r="AT56" s="431">
        <v>0.5</v>
      </c>
      <c r="AU56" s="432">
        <f t="shared" si="51"/>
        <v>6000</v>
      </c>
      <c r="AV56" s="462">
        <v>20000</v>
      </c>
      <c r="AW56" s="463"/>
      <c r="AX56" s="431">
        <v>0.5</v>
      </c>
      <c r="AY56" s="432">
        <f t="shared" si="53"/>
        <v>6000</v>
      </c>
      <c r="AZ56" s="690">
        <f t="shared" si="14"/>
        <v>40</v>
      </c>
      <c r="BA56" s="691"/>
      <c r="BB56" s="691"/>
      <c r="BC56" s="624"/>
      <c r="BD56" s="692"/>
      <c r="BE56" s="692">
        <f t="shared" si="54"/>
        <v>20000</v>
      </c>
      <c r="BF56" s="692">
        <f t="shared" si="15"/>
        <v>6040</v>
      </c>
      <c r="BG56" s="476"/>
      <c r="BH56" s="214">
        <f>BG56+AB56</f>
        <v>20000</v>
      </c>
      <c r="BI56" s="214">
        <f t="shared" si="55"/>
        <v>40000</v>
      </c>
      <c r="BJ56" s="214">
        <f t="shared" si="6"/>
        <v>60000</v>
      </c>
      <c r="BK56" s="214">
        <f t="shared" si="7"/>
        <v>80000</v>
      </c>
      <c r="BL56" s="214">
        <f t="shared" si="8"/>
        <v>100000</v>
      </c>
      <c r="BM56" s="214">
        <f t="shared" si="9"/>
        <v>120000</v>
      </c>
      <c r="BN56" s="476"/>
      <c r="BO56" s="476"/>
      <c r="BP56" s="214">
        <f t="shared" si="30"/>
        <v>-492000</v>
      </c>
      <c r="BQ56" s="214">
        <f t="shared" si="30"/>
        <v>-472000</v>
      </c>
      <c r="BR56" s="214">
        <f t="shared" si="30"/>
        <v>-452000</v>
      </c>
      <c r="BS56" s="214">
        <f t="shared" si="30"/>
        <v>-432000</v>
      </c>
      <c r="BT56" s="214">
        <f t="shared" si="30"/>
        <v>-412000</v>
      </c>
      <c r="BU56" s="214">
        <f t="shared" si="30"/>
        <v>-392000</v>
      </c>
    </row>
    <row r="57" spans="1:73" s="215" customFormat="1" x14ac:dyDescent="0.2">
      <c r="A57" s="201">
        <v>39</v>
      </c>
      <c r="B57" s="202">
        <v>135</v>
      </c>
      <c r="C57" s="203" t="s">
        <v>158</v>
      </c>
      <c r="D57" s="204">
        <v>25000</v>
      </c>
      <c r="E57" s="205"/>
      <c r="F57" s="206">
        <v>1</v>
      </c>
      <c r="G57" s="207">
        <f t="shared" si="11"/>
        <v>7500</v>
      </c>
      <c r="H57" s="208">
        <v>27500</v>
      </c>
      <c r="I57" s="209"/>
      <c r="J57" s="210">
        <v>1</v>
      </c>
      <c r="K57" s="211">
        <f t="shared" si="12"/>
        <v>8250</v>
      </c>
      <c r="L57" s="208">
        <v>27500</v>
      </c>
      <c r="M57" s="212"/>
      <c r="N57" s="210">
        <v>1</v>
      </c>
      <c r="O57" s="211">
        <f t="shared" si="13"/>
        <v>8250</v>
      </c>
      <c r="P57" s="208">
        <f>19642.86+11965.24</f>
        <v>31608.1</v>
      </c>
      <c r="Q57" s="212">
        <v>11965.24</v>
      </c>
      <c r="R57" s="210">
        <v>1</v>
      </c>
      <c r="S57" s="211">
        <f t="shared" si="19"/>
        <v>9482.43</v>
      </c>
      <c r="T57" s="208">
        <v>22261.9</v>
      </c>
      <c r="U57" s="212"/>
      <c r="V57" s="210">
        <v>1</v>
      </c>
      <c r="W57" s="211">
        <f t="shared" si="34"/>
        <v>6678.57</v>
      </c>
      <c r="X57" s="208">
        <v>26003.87</v>
      </c>
      <c r="Y57" s="212">
        <v>2628.87</v>
      </c>
      <c r="Z57" s="210">
        <v>1</v>
      </c>
      <c r="AA57" s="211">
        <f t="shared" si="36"/>
        <v>7801.16</v>
      </c>
      <c r="AB57" s="477">
        <f>21250+998.49</f>
        <v>22248.49</v>
      </c>
      <c r="AC57" s="458"/>
      <c r="AD57" s="431">
        <f>27/31</f>
        <v>0.871</v>
      </c>
      <c r="AE57" s="478">
        <f>21250*30%</f>
        <v>6375</v>
      </c>
      <c r="AF57" s="507">
        <v>27500</v>
      </c>
      <c r="AG57" s="508"/>
      <c r="AH57" s="509">
        <v>1</v>
      </c>
      <c r="AI57" s="432">
        <f t="shared" si="48"/>
        <v>8250</v>
      </c>
      <c r="AJ57" s="477">
        <f>20625+998.49</f>
        <v>21623.49</v>
      </c>
      <c r="AK57" s="458"/>
      <c r="AL57" s="509">
        <f>26/30</f>
        <v>0.86670000000000003</v>
      </c>
      <c r="AM57" s="478">
        <f>20625*30%</f>
        <v>6187.5</v>
      </c>
      <c r="AN57" s="507">
        <v>27500</v>
      </c>
      <c r="AO57" s="508"/>
      <c r="AP57" s="509">
        <v>1</v>
      </c>
      <c r="AQ57" s="432">
        <f t="shared" si="50"/>
        <v>8250</v>
      </c>
      <c r="AR57" s="507">
        <v>27500</v>
      </c>
      <c r="AS57" s="508"/>
      <c r="AT57" s="509">
        <v>1</v>
      </c>
      <c r="AU57" s="432">
        <f t="shared" si="51"/>
        <v>8250</v>
      </c>
      <c r="AV57" s="507">
        <v>27500</v>
      </c>
      <c r="AW57" s="508"/>
      <c r="AX57" s="509">
        <v>1</v>
      </c>
      <c r="AY57" s="432">
        <f t="shared" si="53"/>
        <v>8250</v>
      </c>
      <c r="AZ57" s="690">
        <f t="shared" si="14"/>
        <v>55</v>
      </c>
      <c r="BA57" s="691"/>
      <c r="BB57" s="691"/>
      <c r="BC57" s="624"/>
      <c r="BD57" s="692"/>
      <c r="BE57" s="692">
        <f t="shared" si="54"/>
        <v>27500</v>
      </c>
      <c r="BF57" s="692">
        <f t="shared" si="15"/>
        <v>8305</v>
      </c>
      <c r="BG57" s="214">
        <f t="shared" si="16"/>
        <v>159873.87</v>
      </c>
      <c r="BH57" s="214">
        <f>BG57+AB57-998.49</f>
        <v>181123.87</v>
      </c>
      <c r="BI57" s="214">
        <f t="shared" si="55"/>
        <v>208623.87</v>
      </c>
      <c r="BJ57" s="214">
        <f>BI57+AJ57-998.49</f>
        <v>229248.87</v>
      </c>
      <c r="BK57" s="214">
        <f t="shared" si="7"/>
        <v>256748.87</v>
      </c>
      <c r="BL57" s="214">
        <f t="shared" si="8"/>
        <v>284248.87</v>
      </c>
      <c r="BM57" s="214">
        <f t="shared" si="9"/>
        <v>311748.87</v>
      </c>
      <c r="BN57" s="214"/>
      <c r="BO57" s="214">
        <f t="shared" si="30"/>
        <v>-352126.13</v>
      </c>
      <c r="BP57" s="214">
        <f t="shared" si="30"/>
        <v>-330876.13</v>
      </c>
      <c r="BQ57" s="214">
        <f t="shared" si="30"/>
        <v>-303376.13</v>
      </c>
      <c r="BR57" s="214">
        <f t="shared" si="30"/>
        <v>-282751.13</v>
      </c>
      <c r="BS57" s="214">
        <f t="shared" si="30"/>
        <v>-255251.13</v>
      </c>
      <c r="BT57" s="214">
        <f t="shared" si="30"/>
        <v>-227751.13</v>
      </c>
      <c r="BU57" s="214">
        <f t="shared" si="30"/>
        <v>-200251.13</v>
      </c>
    </row>
    <row r="58" spans="1:73" s="215" customFormat="1" x14ac:dyDescent="0.2">
      <c r="A58" s="201">
        <v>40</v>
      </c>
      <c r="B58" s="202">
        <v>76</v>
      </c>
      <c r="C58" s="203" t="s">
        <v>159</v>
      </c>
      <c r="D58" s="204">
        <v>27500</v>
      </c>
      <c r="E58" s="205"/>
      <c r="F58" s="206">
        <v>0.5</v>
      </c>
      <c r="G58" s="207">
        <f t="shared" si="11"/>
        <v>8250</v>
      </c>
      <c r="H58" s="208">
        <v>30000</v>
      </c>
      <c r="I58" s="209"/>
      <c r="J58" s="210">
        <v>0.5</v>
      </c>
      <c r="K58" s="211">
        <f t="shared" si="12"/>
        <v>9000</v>
      </c>
      <c r="L58" s="208">
        <f>1428.57+26520.76</f>
        <v>27949.33</v>
      </c>
      <c r="M58" s="212">
        <v>26520.76</v>
      </c>
      <c r="N58" s="210">
        <v>0.5</v>
      </c>
      <c r="O58" s="211">
        <f t="shared" si="13"/>
        <v>8384.7999999999993</v>
      </c>
      <c r="P58" s="208">
        <v>30000</v>
      </c>
      <c r="Q58" s="209"/>
      <c r="R58" s="210">
        <v>0.5</v>
      </c>
      <c r="S58" s="211">
        <f t="shared" si="19"/>
        <v>9000</v>
      </c>
      <c r="T58" s="208">
        <v>30000</v>
      </c>
      <c r="U58" s="213"/>
      <c r="V58" s="210">
        <v>0.5</v>
      </c>
      <c r="W58" s="211">
        <f t="shared" si="34"/>
        <v>9000</v>
      </c>
      <c r="X58" s="208">
        <v>30000</v>
      </c>
      <c r="Y58" s="213"/>
      <c r="Z58" s="210">
        <v>0.5</v>
      </c>
      <c r="AA58" s="211">
        <f t="shared" si="36"/>
        <v>9000</v>
      </c>
      <c r="AB58" s="429">
        <v>30000</v>
      </c>
      <c r="AC58" s="430"/>
      <c r="AD58" s="431">
        <v>0.5</v>
      </c>
      <c r="AE58" s="432">
        <f t="shared" si="47"/>
        <v>9000</v>
      </c>
      <c r="AF58" s="429">
        <v>30000</v>
      </c>
      <c r="AG58" s="430"/>
      <c r="AH58" s="431">
        <v>0.5</v>
      </c>
      <c r="AI58" s="432">
        <f t="shared" si="48"/>
        <v>9000</v>
      </c>
      <c r="AJ58" s="429">
        <v>30000</v>
      </c>
      <c r="AK58" s="430"/>
      <c r="AL58" s="431">
        <v>0.5</v>
      </c>
      <c r="AM58" s="432">
        <f t="shared" si="49"/>
        <v>9000</v>
      </c>
      <c r="AN58" s="429">
        <v>30000</v>
      </c>
      <c r="AO58" s="430"/>
      <c r="AP58" s="431">
        <v>0.5</v>
      </c>
      <c r="AQ58" s="432">
        <f t="shared" si="50"/>
        <v>9000</v>
      </c>
      <c r="AR58" s="429">
        <v>30000</v>
      </c>
      <c r="AS58" s="430"/>
      <c r="AT58" s="431">
        <v>0.5</v>
      </c>
      <c r="AU58" s="432">
        <f t="shared" si="51"/>
        <v>9000</v>
      </c>
      <c r="AV58" s="429">
        <v>30000</v>
      </c>
      <c r="AW58" s="430"/>
      <c r="AX58" s="431">
        <v>0.5</v>
      </c>
      <c r="AY58" s="432">
        <f t="shared" si="53"/>
        <v>9000</v>
      </c>
      <c r="AZ58" s="690">
        <f t="shared" si="14"/>
        <v>60</v>
      </c>
      <c r="BA58" s="691"/>
      <c r="BB58" s="691"/>
      <c r="BC58" s="624"/>
      <c r="BD58" s="692"/>
      <c r="BE58" s="692">
        <f t="shared" si="54"/>
        <v>30000</v>
      </c>
      <c r="BF58" s="692">
        <f t="shared" si="15"/>
        <v>9060</v>
      </c>
      <c r="BG58" s="214">
        <f t="shared" si="16"/>
        <v>175449.33</v>
      </c>
      <c r="BH58" s="214">
        <f t="shared" ref="BH58:BH66" si="56">BG58+AB58</f>
        <v>205449.33</v>
      </c>
      <c r="BI58" s="214">
        <f t="shared" si="55"/>
        <v>235449.33</v>
      </c>
      <c r="BJ58" s="214">
        <f>BI58+AJ58</f>
        <v>265449.33</v>
      </c>
      <c r="BK58" s="214">
        <f t="shared" si="7"/>
        <v>295449.33</v>
      </c>
      <c r="BL58" s="214">
        <f t="shared" si="8"/>
        <v>325449.33</v>
      </c>
      <c r="BM58" s="214">
        <f t="shared" si="9"/>
        <v>355449.33</v>
      </c>
      <c r="BN58" s="214"/>
      <c r="BO58" s="214">
        <f t="shared" si="30"/>
        <v>-336550.67</v>
      </c>
      <c r="BP58" s="214">
        <f t="shared" si="30"/>
        <v>-306550.67</v>
      </c>
      <c r="BQ58" s="214">
        <f t="shared" si="30"/>
        <v>-276550.67</v>
      </c>
      <c r="BR58" s="214">
        <f t="shared" si="30"/>
        <v>-246550.67</v>
      </c>
      <c r="BS58" s="214">
        <f t="shared" si="30"/>
        <v>-216550.67</v>
      </c>
      <c r="BT58" s="214">
        <f t="shared" si="30"/>
        <v>-186550.67</v>
      </c>
      <c r="BU58" s="214">
        <f t="shared" si="30"/>
        <v>-156550.67000000001</v>
      </c>
    </row>
    <row r="59" spans="1:73" s="215" customFormat="1" x14ac:dyDescent="0.2">
      <c r="A59" s="201">
        <v>41</v>
      </c>
      <c r="B59" s="202">
        <v>115</v>
      </c>
      <c r="C59" s="203" t="s">
        <v>160</v>
      </c>
      <c r="D59" s="204">
        <v>27500</v>
      </c>
      <c r="E59" s="205"/>
      <c r="F59" s="206">
        <v>0.5</v>
      </c>
      <c r="G59" s="207">
        <f t="shared" si="11"/>
        <v>8250</v>
      </c>
      <c r="H59" s="208">
        <v>30000</v>
      </c>
      <c r="I59" s="209"/>
      <c r="J59" s="210">
        <v>0.5</v>
      </c>
      <c r="K59" s="211">
        <f t="shared" si="12"/>
        <v>9000</v>
      </c>
      <c r="L59" s="208">
        <f>1428.57+42424.48</f>
        <v>43853.05</v>
      </c>
      <c r="M59" s="212">
        <v>42424.480000000003</v>
      </c>
      <c r="N59" s="210">
        <v>0.5</v>
      </c>
      <c r="O59" s="211">
        <f t="shared" si="13"/>
        <v>13155.92</v>
      </c>
      <c r="P59" s="208">
        <v>30000</v>
      </c>
      <c r="Q59" s="209"/>
      <c r="R59" s="210">
        <v>0.5</v>
      </c>
      <c r="S59" s="211">
        <f t="shared" si="19"/>
        <v>9000</v>
      </c>
      <c r="T59" s="208">
        <v>30000</v>
      </c>
      <c r="U59" s="213"/>
      <c r="V59" s="210">
        <v>0.5</v>
      </c>
      <c r="W59" s="211">
        <f t="shared" si="34"/>
        <v>9000</v>
      </c>
      <c r="X59" s="208">
        <v>30000</v>
      </c>
      <c r="Y59" s="213"/>
      <c r="Z59" s="210">
        <v>0.5</v>
      </c>
      <c r="AA59" s="211">
        <f t="shared" si="36"/>
        <v>9000</v>
      </c>
      <c r="AB59" s="429">
        <v>30000</v>
      </c>
      <c r="AC59" s="430"/>
      <c r="AD59" s="431">
        <v>0.5</v>
      </c>
      <c r="AE59" s="432">
        <f t="shared" si="47"/>
        <v>9000</v>
      </c>
      <c r="AF59" s="429">
        <v>30000</v>
      </c>
      <c r="AG59" s="430"/>
      <c r="AH59" s="431">
        <v>0.5</v>
      </c>
      <c r="AI59" s="432">
        <f t="shared" si="48"/>
        <v>9000</v>
      </c>
      <c r="AJ59" s="429">
        <v>30000</v>
      </c>
      <c r="AK59" s="430"/>
      <c r="AL59" s="431">
        <v>0.5</v>
      </c>
      <c r="AM59" s="432">
        <f t="shared" si="49"/>
        <v>9000</v>
      </c>
      <c r="AN59" s="429">
        <v>30000</v>
      </c>
      <c r="AO59" s="430"/>
      <c r="AP59" s="431">
        <v>0.5</v>
      </c>
      <c r="AQ59" s="432">
        <f t="shared" si="50"/>
        <v>9000</v>
      </c>
      <c r="AR59" s="429">
        <v>30000</v>
      </c>
      <c r="AS59" s="430"/>
      <c r="AT59" s="431">
        <v>0.5</v>
      </c>
      <c r="AU59" s="432">
        <f t="shared" si="51"/>
        <v>9000</v>
      </c>
      <c r="AV59" s="429">
        <v>30000</v>
      </c>
      <c r="AW59" s="430"/>
      <c r="AX59" s="431">
        <v>0.5</v>
      </c>
      <c r="AY59" s="432">
        <f t="shared" si="53"/>
        <v>9000</v>
      </c>
      <c r="AZ59" s="690">
        <f t="shared" si="14"/>
        <v>60</v>
      </c>
      <c r="BA59" s="691"/>
      <c r="BB59" s="691"/>
      <c r="BC59" s="624"/>
      <c r="BD59" s="692"/>
      <c r="BE59" s="692">
        <f t="shared" si="54"/>
        <v>30000</v>
      </c>
      <c r="BF59" s="692">
        <f t="shared" si="15"/>
        <v>9060</v>
      </c>
      <c r="BG59" s="214">
        <f t="shared" si="16"/>
        <v>191353.05</v>
      </c>
      <c r="BH59" s="214">
        <f t="shared" si="56"/>
        <v>221353.05</v>
      </c>
      <c r="BI59" s="214">
        <f t="shared" si="55"/>
        <v>251353.05</v>
      </c>
      <c r="BJ59" s="214">
        <f>BI59+AJ59</f>
        <v>281353.05</v>
      </c>
      <c r="BK59" s="214">
        <f t="shared" si="7"/>
        <v>311353.05</v>
      </c>
      <c r="BL59" s="214">
        <f t="shared" si="8"/>
        <v>341353.05</v>
      </c>
      <c r="BM59" s="214">
        <f t="shared" si="9"/>
        <v>371353.05</v>
      </c>
      <c r="BN59" s="214"/>
      <c r="BO59" s="214">
        <f t="shared" si="30"/>
        <v>-320646.95</v>
      </c>
      <c r="BP59" s="214">
        <f t="shared" si="30"/>
        <v>-290646.95</v>
      </c>
      <c r="BQ59" s="214">
        <f t="shared" si="30"/>
        <v>-260646.95</v>
      </c>
      <c r="BR59" s="214">
        <f t="shared" si="30"/>
        <v>-230646.95</v>
      </c>
      <c r="BS59" s="214">
        <f t="shared" si="30"/>
        <v>-200646.95</v>
      </c>
      <c r="BT59" s="214">
        <f t="shared" si="30"/>
        <v>-170646.95</v>
      </c>
      <c r="BU59" s="214">
        <f t="shared" si="30"/>
        <v>-140646.95000000001</v>
      </c>
    </row>
    <row r="60" spans="1:73" s="215" customFormat="1" x14ac:dyDescent="0.2">
      <c r="A60" s="201">
        <v>42</v>
      </c>
      <c r="B60" s="202">
        <v>68</v>
      </c>
      <c r="C60" s="203" t="s">
        <v>161</v>
      </c>
      <c r="D60" s="204">
        <v>25000</v>
      </c>
      <c r="E60" s="205"/>
      <c r="F60" s="206">
        <v>1</v>
      </c>
      <c r="G60" s="207">
        <f t="shared" si="11"/>
        <v>7500</v>
      </c>
      <c r="H60" s="208">
        <v>30000</v>
      </c>
      <c r="I60" s="209"/>
      <c r="J60" s="210">
        <v>1</v>
      </c>
      <c r="K60" s="211">
        <f t="shared" si="12"/>
        <v>9000</v>
      </c>
      <c r="L60" s="208">
        <f>1428.57+24272.08</f>
        <v>25700.65</v>
      </c>
      <c r="M60" s="212">
        <v>24272.080000000002</v>
      </c>
      <c r="N60" s="210">
        <v>1</v>
      </c>
      <c r="O60" s="211">
        <f t="shared" si="13"/>
        <v>7710.2</v>
      </c>
      <c r="P60" s="208">
        <v>30000</v>
      </c>
      <c r="Q60" s="209"/>
      <c r="R60" s="210">
        <v>1</v>
      </c>
      <c r="S60" s="211">
        <f t="shared" si="19"/>
        <v>9000</v>
      </c>
      <c r="T60" s="208">
        <v>30000</v>
      </c>
      <c r="U60" s="213"/>
      <c r="V60" s="210">
        <v>1</v>
      </c>
      <c r="W60" s="211">
        <f t="shared" si="34"/>
        <v>9000</v>
      </c>
      <c r="X60" s="208">
        <v>30000</v>
      </c>
      <c r="Y60" s="213"/>
      <c r="Z60" s="210">
        <v>1</v>
      </c>
      <c r="AA60" s="211">
        <f t="shared" si="36"/>
        <v>9000</v>
      </c>
      <c r="AB60" s="429">
        <v>30000</v>
      </c>
      <c r="AC60" s="430"/>
      <c r="AD60" s="431">
        <v>1</v>
      </c>
      <c r="AE60" s="432">
        <f t="shared" si="47"/>
        <v>9000</v>
      </c>
      <c r="AF60" s="429">
        <v>30000</v>
      </c>
      <c r="AG60" s="430"/>
      <c r="AH60" s="431">
        <v>1</v>
      </c>
      <c r="AI60" s="432">
        <f t="shared" si="48"/>
        <v>9000</v>
      </c>
      <c r="AJ60" s="429">
        <v>30000</v>
      </c>
      <c r="AK60" s="430"/>
      <c r="AL60" s="431">
        <v>1</v>
      </c>
      <c r="AM60" s="432">
        <f t="shared" si="49"/>
        <v>9000</v>
      </c>
      <c r="AN60" s="429">
        <v>30000</v>
      </c>
      <c r="AO60" s="430"/>
      <c r="AP60" s="431">
        <v>1</v>
      </c>
      <c r="AQ60" s="432">
        <f t="shared" si="50"/>
        <v>9000</v>
      </c>
      <c r="AR60" s="429">
        <v>30000</v>
      </c>
      <c r="AS60" s="430"/>
      <c r="AT60" s="431">
        <v>1</v>
      </c>
      <c r="AU60" s="432">
        <f t="shared" si="51"/>
        <v>9000</v>
      </c>
      <c r="AV60" s="429">
        <v>30000</v>
      </c>
      <c r="AW60" s="430"/>
      <c r="AX60" s="431">
        <v>1</v>
      </c>
      <c r="AY60" s="432">
        <f t="shared" si="53"/>
        <v>9000</v>
      </c>
      <c r="AZ60" s="690">
        <f t="shared" si="14"/>
        <v>60</v>
      </c>
      <c r="BA60" s="691"/>
      <c r="BB60" s="691"/>
      <c r="BC60" s="624"/>
      <c r="BD60" s="692"/>
      <c r="BE60" s="692">
        <f t="shared" si="54"/>
        <v>30000</v>
      </c>
      <c r="BF60" s="692">
        <f t="shared" si="15"/>
        <v>9060</v>
      </c>
      <c r="BG60" s="214">
        <f t="shared" si="16"/>
        <v>170700.65</v>
      </c>
      <c r="BH60" s="214">
        <f t="shared" si="56"/>
        <v>200700.65</v>
      </c>
      <c r="BI60" s="214">
        <f t="shared" si="55"/>
        <v>230700.65</v>
      </c>
      <c r="BJ60" s="214">
        <f>BI60+AJ60</f>
        <v>260700.65</v>
      </c>
      <c r="BK60" s="214">
        <f t="shared" si="7"/>
        <v>290700.65000000002</v>
      </c>
      <c r="BL60" s="214">
        <f t="shared" si="8"/>
        <v>320700.65000000002</v>
      </c>
      <c r="BM60" s="214">
        <f t="shared" si="9"/>
        <v>350700.65</v>
      </c>
      <c r="BN60" s="214"/>
      <c r="BO60" s="214">
        <f t="shared" si="30"/>
        <v>-341299.35</v>
      </c>
      <c r="BP60" s="214">
        <f t="shared" si="30"/>
        <v>-311299.34999999998</v>
      </c>
      <c r="BQ60" s="214">
        <f t="shared" si="30"/>
        <v>-281299.34999999998</v>
      </c>
      <c r="BR60" s="214">
        <f t="shared" ref="BR60:BU69" si="57">BJ60-512000</f>
        <v>-251299.35</v>
      </c>
      <c r="BS60" s="214">
        <f t="shared" si="57"/>
        <v>-221299.35</v>
      </c>
      <c r="BT60" s="214">
        <f t="shared" si="57"/>
        <v>-191299.35</v>
      </c>
      <c r="BU60" s="214">
        <f t="shared" si="57"/>
        <v>-161299.35</v>
      </c>
    </row>
    <row r="61" spans="1:73" s="215" customFormat="1" x14ac:dyDescent="0.2">
      <c r="A61" s="201">
        <v>43</v>
      </c>
      <c r="B61" s="202">
        <v>91</v>
      </c>
      <c r="C61" s="203" t="s">
        <v>162</v>
      </c>
      <c r="D61" s="204">
        <v>27000</v>
      </c>
      <c r="E61" s="205"/>
      <c r="F61" s="206">
        <v>1</v>
      </c>
      <c r="G61" s="207">
        <f t="shared" si="11"/>
        <v>8100</v>
      </c>
      <c r="H61" s="208">
        <v>50000</v>
      </c>
      <c r="I61" s="209"/>
      <c r="J61" s="210">
        <v>1</v>
      </c>
      <c r="K61" s="211">
        <f t="shared" si="12"/>
        <v>15000</v>
      </c>
      <c r="L61" s="208">
        <f>50000</f>
        <v>50000</v>
      </c>
      <c r="M61" s="212"/>
      <c r="N61" s="210">
        <v>1</v>
      </c>
      <c r="O61" s="211">
        <f t="shared" si="13"/>
        <v>15000</v>
      </c>
      <c r="P61" s="208">
        <v>50000</v>
      </c>
      <c r="Q61" s="209"/>
      <c r="R61" s="210">
        <v>1</v>
      </c>
      <c r="S61" s="211">
        <f t="shared" si="19"/>
        <v>15000</v>
      </c>
      <c r="T61" s="208">
        <v>50000</v>
      </c>
      <c r="U61" s="213"/>
      <c r="V61" s="210">
        <v>1</v>
      </c>
      <c r="W61" s="211">
        <f t="shared" si="34"/>
        <v>15000</v>
      </c>
      <c r="X61" s="208">
        <v>50000</v>
      </c>
      <c r="Y61" s="213"/>
      <c r="Z61" s="210">
        <v>1</v>
      </c>
      <c r="AA61" s="211">
        <f t="shared" si="36"/>
        <v>15000</v>
      </c>
      <c r="AB61" s="429">
        <v>50000</v>
      </c>
      <c r="AC61" s="430"/>
      <c r="AD61" s="431">
        <v>1</v>
      </c>
      <c r="AE61" s="432">
        <f t="shared" si="47"/>
        <v>15000</v>
      </c>
      <c r="AF61" s="429">
        <v>50000</v>
      </c>
      <c r="AG61" s="430"/>
      <c r="AH61" s="431">
        <v>1</v>
      </c>
      <c r="AI61" s="432">
        <f t="shared" si="48"/>
        <v>15000</v>
      </c>
      <c r="AJ61" s="477">
        <f>40000+2099.82</f>
        <v>42099.82</v>
      </c>
      <c r="AK61" s="430"/>
      <c r="AL61" s="509">
        <f>29/30</f>
        <v>0.9667</v>
      </c>
      <c r="AM61" s="478">
        <f>40000*30%</f>
        <v>12000</v>
      </c>
      <c r="AN61" s="477">
        <f>41739.13+2099.82</f>
        <v>43838.95</v>
      </c>
      <c r="AO61" s="430"/>
      <c r="AP61" s="509">
        <f>25/31</f>
        <v>0.80649999999999999</v>
      </c>
      <c r="AQ61" s="478">
        <f>41739.13*30%</f>
        <v>12521.74</v>
      </c>
      <c r="AR61" s="450">
        <v>60000</v>
      </c>
      <c r="AS61" s="430"/>
      <c r="AT61" s="509">
        <v>1</v>
      </c>
      <c r="AU61" s="453">
        <f>(518739.13-512000)*10%+(60000-6739.13)*30%</f>
        <v>16652.169999999998</v>
      </c>
      <c r="AV61" s="429">
        <v>60000</v>
      </c>
      <c r="AW61" s="430"/>
      <c r="AX61" s="509">
        <v>1</v>
      </c>
      <c r="AY61" s="453">
        <f>AV61*10%</f>
        <v>6000</v>
      </c>
      <c r="AZ61" s="690">
        <f t="shared" si="14"/>
        <v>120</v>
      </c>
      <c r="BA61" s="691"/>
      <c r="BB61" s="691"/>
      <c r="BC61" s="693">
        <f>AV61*$BD$73</f>
        <v>120000</v>
      </c>
      <c r="BD61" s="694">
        <f>BC61*10.2%</f>
        <v>12240</v>
      </c>
      <c r="BE61" s="692">
        <f t="shared" si="54"/>
        <v>180000</v>
      </c>
      <c r="BF61" s="692">
        <f t="shared" si="15"/>
        <v>18360</v>
      </c>
      <c r="BG61" s="214">
        <f t="shared" si="16"/>
        <v>277000</v>
      </c>
      <c r="BH61" s="214">
        <f t="shared" si="56"/>
        <v>327000</v>
      </c>
      <c r="BI61" s="214">
        <f t="shared" si="55"/>
        <v>377000</v>
      </c>
      <c r="BJ61" s="214">
        <f>BI61+AJ61-2099.82</f>
        <v>417000</v>
      </c>
      <c r="BK61" s="214">
        <f>BJ61+AN61-2099.82</f>
        <v>458739.13</v>
      </c>
      <c r="BL61" s="454">
        <f t="shared" si="8"/>
        <v>518739.13</v>
      </c>
      <c r="BM61" s="454">
        <f t="shared" si="9"/>
        <v>578739.13</v>
      </c>
      <c r="BN61" s="214"/>
      <c r="BO61" s="214">
        <f t="shared" ref="BO61:BQ70" si="58">BG61-512000</f>
        <v>-235000</v>
      </c>
      <c r="BP61" s="214">
        <f t="shared" si="58"/>
        <v>-185000</v>
      </c>
      <c r="BQ61" s="214">
        <f t="shared" si="58"/>
        <v>-135000</v>
      </c>
      <c r="BR61" s="214">
        <f t="shared" si="57"/>
        <v>-95000</v>
      </c>
      <c r="BS61" s="214">
        <f t="shared" si="57"/>
        <v>-53260.87</v>
      </c>
      <c r="BT61" s="455">
        <f t="shared" si="57"/>
        <v>6739.13</v>
      </c>
      <c r="BU61" s="455">
        <f t="shared" si="57"/>
        <v>66739.13</v>
      </c>
    </row>
    <row r="62" spans="1:73" s="215" customFormat="1" x14ac:dyDescent="0.2">
      <c r="A62" s="201">
        <v>44</v>
      </c>
      <c r="B62" s="202">
        <v>131</v>
      </c>
      <c r="C62" s="237" t="s">
        <v>163</v>
      </c>
      <c r="D62" s="238">
        <v>25000</v>
      </c>
      <c r="E62" s="239"/>
      <c r="F62" s="240">
        <v>0.5</v>
      </c>
      <c r="G62" s="241">
        <f t="shared" si="11"/>
        <v>7500</v>
      </c>
      <c r="H62" s="242">
        <v>30000</v>
      </c>
      <c r="I62" s="243"/>
      <c r="J62" s="240">
        <v>0.5</v>
      </c>
      <c r="K62" s="244">
        <f t="shared" si="12"/>
        <v>9000</v>
      </c>
      <c r="L62" s="242">
        <f>1428.57+24242.4</f>
        <v>25670.97</v>
      </c>
      <c r="M62" s="245">
        <v>24242.400000000001</v>
      </c>
      <c r="N62" s="240">
        <v>0.5</v>
      </c>
      <c r="O62" s="244">
        <f t="shared" si="13"/>
        <v>7701.29</v>
      </c>
      <c r="P62" s="242">
        <v>30000</v>
      </c>
      <c r="Q62" s="243"/>
      <c r="R62" s="240">
        <v>0.5</v>
      </c>
      <c r="S62" s="244">
        <f t="shared" si="19"/>
        <v>9000</v>
      </c>
      <c r="T62" s="242">
        <v>30000</v>
      </c>
      <c r="U62" s="246"/>
      <c r="V62" s="240">
        <v>0.5</v>
      </c>
      <c r="W62" s="244">
        <f t="shared" si="34"/>
        <v>9000</v>
      </c>
      <c r="X62" s="242">
        <v>30000</v>
      </c>
      <c r="Y62" s="246"/>
      <c r="Z62" s="240">
        <v>0.5</v>
      </c>
      <c r="AA62" s="244">
        <f t="shared" si="36"/>
        <v>9000</v>
      </c>
      <c r="AB62" s="439">
        <v>30000</v>
      </c>
      <c r="AC62" s="440"/>
      <c r="AD62" s="441">
        <v>0.5</v>
      </c>
      <c r="AE62" s="442">
        <f t="shared" si="47"/>
        <v>9000</v>
      </c>
      <c r="AF62" s="439">
        <v>30000</v>
      </c>
      <c r="AG62" s="440"/>
      <c r="AH62" s="441">
        <v>0.5</v>
      </c>
      <c r="AI62" s="442">
        <f t="shared" si="48"/>
        <v>9000</v>
      </c>
      <c r="AJ62" s="439">
        <v>30000</v>
      </c>
      <c r="AK62" s="440"/>
      <c r="AL62" s="441">
        <v>0.5</v>
      </c>
      <c r="AM62" s="442">
        <f t="shared" si="49"/>
        <v>9000</v>
      </c>
      <c r="AN62" s="439">
        <v>30000</v>
      </c>
      <c r="AO62" s="440"/>
      <c r="AP62" s="441">
        <v>0.5</v>
      </c>
      <c r="AQ62" s="442">
        <f t="shared" ref="AQ62:AQ68" si="59">AN62*30%</f>
        <v>9000</v>
      </c>
      <c r="AR62" s="439">
        <v>30000</v>
      </c>
      <c r="AS62" s="440"/>
      <c r="AT62" s="441">
        <v>0.5</v>
      </c>
      <c r="AU62" s="442">
        <f t="shared" si="51"/>
        <v>9000</v>
      </c>
      <c r="AV62" s="439">
        <v>30000</v>
      </c>
      <c r="AW62" s="440"/>
      <c r="AX62" s="441">
        <v>0.5</v>
      </c>
      <c r="AY62" s="442">
        <f t="shared" ref="AY62" si="60">AV62*30%</f>
        <v>9000</v>
      </c>
      <c r="AZ62" s="690">
        <f t="shared" si="14"/>
        <v>60</v>
      </c>
      <c r="BA62" s="691"/>
      <c r="BB62" s="691"/>
      <c r="BC62" s="624"/>
      <c r="BD62" s="692"/>
      <c r="BE62" s="692">
        <f t="shared" si="54"/>
        <v>30000</v>
      </c>
      <c r="BF62" s="692">
        <f t="shared" si="15"/>
        <v>9060</v>
      </c>
      <c r="BG62" s="214">
        <f t="shared" si="16"/>
        <v>170670.97</v>
      </c>
      <c r="BH62" s="214">
        <f t="shared" si="56"/>
        <v>200670.97</v>
      </c>
      <c r="BI62" s="214">
        <f t="shared" si="55"/>
        <v>230670.97</v>
      </c>
      <c r="BJ62" s="214">
        <f t="shared" ref="BJ62:BJ69" si="61">BI62+AJ62</f>
        <v>260670.97</v>
      </c>
      <c r="BK62" s="214">
        <f t="shared" ref="BK62:BK69" si="62">BJ62+AN62</f>
        <v>290670.96999999997</v>
      </c>
      <c r="BL62" s="214">
        <f t="shared" si="8"/>
        <v>320670.96999999997</v>
      </c>
      <c r="BM62" s="214">
        <f t="shared" si="9"/>
        <v>350670.97</v>
      </c>
      <c r="BN62" s="214"/>
      <c r="BO62" s="214">
        <f t="shared" si="58"/>
        <v>-341329.03</v>
      </c>
      <c r="BP62" s="214">
        <f t="shared" si="58"/>
        <v>-311329.03000000003</v>
      </c>
      <c r="BQ62" s="214">
        <f t="shared" si="58"/>
        <v>-281329.03000000003</v>
      </c>
      <c r="BR62" s="214">
        <f t="shared" si="57"/>
        <v>-251329.03</v>
      </c>
      <c r="BS62" s="214">
        <f t="shared" si="57"/>
        <v>-221329.03</v>
      </c>
      <c r="BT62" s="214">
        <f t="shared" si="57"/>
        <v>-191329.03</v>
      </c>
      <c r="BU62" s="214">
        <f t="shared" si="57"/>
        <v>-161329.03</v>
      </c>
    </row>
    <row r="63" spans="1:73" s="215" customFormat="1" x14ac:dyDescent="0.2">
      <c r="A63" s="201">
        <v>45</v>
      </c>
      <c r="B63" s="202">
        <v>137</v>
      </c>
      <c r="C63" s="203" t="s">
        <v>164</v>
      </c>
      <c r="D63" s="204">
        <f>46406.25+2000</f>
        <v>48406.25</v>
      </c>
      <c r="E63" s="205"/>
      <c r="F63" s="206">
        <v>1</v>
      </c>
      <c r="G63" s="207">
        <f t="shared" si="11"/>
        <v>14521.88</v>
      </c>
      <c r="H63" s="208">
        <v>59400</v>
      </c>
      <c r="I63" s="209"/>
      <c r="J63" s="210">
        <v>1</v>
      </c>
      <c r="K63" s="211">
        <f t="shared" si="12"/>
        <v>17820</v>
      </c>
      <c r="L63" s="208">
        <v>59400</v>
      </c>
      <c r="M63" s="212"/>
      <c r="N63" s="210">
        <v>1</v>
      </c>
      <c r="O63" s="211">
        <f t="shared" si="13"/>
        <v>17820</v>
      </c>
      <c r="P63" s="208">
        <v>59400</v>
      </c>
      <c r="Q63" s="209"/>
      <c r="R63" s="210">
        <v>1</v>
      </c>
      <c r="S63" s="211">
        <f t="shared" si="19"/>
        <v>17820</v>
      </c>
      <c r="T63" s="208">
        <v>59400</v>
      </c>
      <c r="U63" s="213"/>
      <c r="V63" s="210">
        <v>1</v>
      </c>
      <c r="W63" s="211">
        <f t="shared" si="34"/>
        <v>17820</v>
      </c>
      <c r="X63" s="208">
        <v>59400</v>
      </c>
      <c r="Y63" s="213"/>
      <c r="Z63" s="210">
        <v>1</v>
      </c>
      <c r="AA63" s="211">
        <f t="shared" si="36"/>
        <v>17820</v>
      </c>
      <c r="AB63" s="429">
        <v>59400</v>
      </c>
      <c r="AC63" s="430"/>
      <c r="AD63" s="431">
        <v>1</v>
      </c>
      <c r="AE63" s="432">
        <f t="shared" si="47"/>
        <v>17820</v>
      </c>
      <c r="AF63" s="429">
        <v>59400</v>
      </c>
      <c r="AG63" s="430"/>
      <c r="AH63" s="431">
        <v>1</v>
      </c>
      <c r="AI63" s="432">
        <f t="shared" si="48"/>
        <v>17820</v>
      </c>
      <c r="AJ63" s="450">
        <v>59400</v>
      </c>
      <c r="AK63" s="576"/>
      <c r="AL63" s="509">
        <v>1</v>
      </c>
      <c r="AM63" s="453">
        <f>(523606.25-512000)*10%+(59400-11606.25)*30%</f>
        <v>15498.75</v>
      </c>
      <c r="AN63" s="450">
        <v>67045.95</v>
      </c>
      <c r="AO63" s="430">
        <v>33472.04</v>
      </c>
      <c r="AP63" s="431">
        <v>1</v>
      </c>
      <c r="AQ63" s="453">
        <f>AN63*10%</f>
        <v>6704.6</v>
      </c>
      <c r="AR63" s="450">
        <v>59400</v>
      </c>
      <c r="AS63" s="430"/>
      <c r="AT63" s="431">
        <v>1</v>
      </c>
      <c r="AU63" s="453">
        <f>AR63*10%</f>
        <v>5940</v>
      </c>
      <c r="AV63" s="450">
        <v>59400</v>
      </c>
      <c r="AW63" s="430"/>
      <c r="AX63" s="431">
        <v>1</v>
      </c>
      <c r="AY63" s="453">
        <f>AV63*10%</f>
        <v>5940</v>
      </c>
      <c r="AZ63" s="690">
        <f t="shared" si="14"/>
        <v>118.8</v>
      </c>
      <c r="BA63" s="691"/>
      <c r="BB63" s="691"/>
      <c r="BC63" s="693">
        <f>AV63*$BD$73</f>
        <v>118800</v>
      </c>
      <c r="BD63" s="694">
        <f>BC63*10.2%</f>
        <v>12117.6</v>
      </c>
      <c r="BE63" s="692">
        <f t="shared" si="54"/>
        <v>178200</v>
      </c>
      <c r="BF63" s="692">
        <f t="shared" si="15"/>
        <v>18176.400000000001</v>
      </c>
      <c r="BG63" s="214">
        <f t="shared" si="16"/>
        <v>345406.25</v>
      </c>
      <c r="BH63" s="214">
        <f t="shared" si="56"/>
        <v>404806.25</v>
      </c>
      <c r="BI63" s="214">
        <f t="shared" si="55"/>
        <v>464206.25</v>
      </c>
      <c r="BJ63" s="454">
        <f t="shared" si="61"/>
        <v>523606.25</v>
      </c>
      <c r="BK63" s="454">
        <f t="shared" si="62"/>
        <v>590652.19999999995</v>
      </c>
      <c r="BL63" s="454">
        <f t="shared" si="8"/>
        <v>650052.19999999995</v>
      </c>
      <c r="BM63" s="454">
        <f t="shared" si="9"/>
        <v>709452.2</v>
      </c>
      <c r="BN63" s="214"/>
      <c r="BO63" s="214">
        <f t="shared" si="58"/>
        <v>-166593.75</v>
      </c>
      <c r="BP63" s="214">
        <f t="shared" si="58"/>
        <v>-107193.75</v>
      </c>
      <c r="BQ63" s="214">
        <f t="shared" si="58"/>
        <v>-47793.75</v>
      </c>
      <c r="BR63" s="455">
        <f t="shared" si="57"/>
        <v>11606.25</v>
      </c>
      <c r="BS63" s="455">
        <f t="shared" si="57"/>
        <v>78652.2</v>
      </c>
      <c r="BT63" s="455">
        <f t="shared" si="57"/>
        <v>138052.20000000001</v>
      </c>
      <c r="BU63" s="455">
        <f t="shared" si="57"/>
        <v>197452.2</v>
      </c>
    </row>
    <row r="64" spans="1:73" s="215" customFormat="1" x14ac:dyDescent="0.2">
      <c r="A64" s="201">
        <v>46</v>
      </c>
      <c r="B64" s="202">
        <v>146</v>
      </c>
      <c r="C64" s="203" t="s">
        <v>165</v>
      </c>
      <c r="D64" s="204">
        <v>20000</v>
      </c>
      <c r="E64" s="205"/>
      <c r="F64" s="206">
        <v>1</v>
      </c>
      <c r="G64" s="207">
        <f t="shared" si="11"/>
        <v>6000</v>
      </c>
      <c r="H64" s="208">
        <v>25000</v>
      </c>
      <c r="I64" s="209"/>
      <c r="J64" s="210">
        <v>1</v>
      </c>
      <c r="K64" s="211">
        <f t="shared" si="12"/>
        <v>7500</v>
      </c>
      <c r="L64" s="278">
        <f>3571.43+5205.97</f>
        <v>8777.4</v>
      </c>
      <c r="M64" s="279">
        <v>5205.97</v>
      </c>
      <c r="N64" s="210">
        <f>5/31</f>
        <v>0.1613</v>
      </c>
      <c r="O64" s="211">
        <f t="shared" si="13"/>
        <v>2633.22</v>
      </c>
      <c r="P64" s="221"/>
      <c r="Q64" s="222"/>
      <c r="R64" s="223">
        <v>0</v>
      </c>
      <c r="S64" s="224">
        <f t="shared" si="19"/>
        <v>0</v>
      </c>
      <c r="T64" s="221"/>
      <c r="U64" s="226"/>
      <c r="V64" s="223">
        <v>0</v>
      </c>
      <c r="W64" s="224">
        <f t="shared" si="34"/>
        <v>0</v>
      </c>
      <c r="X64" s="221"/>
      <c r="Y64" s="226"/>
      <c r="Z64" s="223">
        <v>0</v>
      </c>
      <c r="AA64" s="224">
        <f t="shared" si="36"/>
        <v>0</v>
      </c>
      <c r="AB64" s="433"/>
      <c r="AC64" s="434"/>
      <c r="AD64" s="435">
        <v>0</v>
      </c>
      <c r="AE64" s="436">
        <f t="shared" si="47"/>
        <v>0</v>
      </c>
      <c r="AF64" s="433"/>
      <c r="AG64" s="434"/>
      <c r="AH64" s="435">
        <v>0</v>
      </c>
      <c r="AI64" s="436">
        <f t="shared" si="48"/>
        <v>0</v>
      </c>
      <c r="AJ64" s="433"/>
      <c r="AK64" s="434"/>
      <c r="AL64" s="435">
        <v>0</v>
      </c>
      <c r="AM64" s="436">
        <f t="shared" si="49"/>
        <v>0</v>
      </c>
      <c r="AN64" s="433"/>
      <c r="AO64" s="434"/>
      <c r="AP64" s="435">
        <v>0</v>
      </c>
      <c r="AQ64" s="436">
        <f t="shared" si="59"/>
        <v>0</v>
      </c>
      <c r="AR64" s="433"/>
      <c r="AS64" s="434"/>
      <c r="AT64" s="435">
        <v>0</v>
      </c>
      <c r="AU64" s="436">
        <f t="shared" ref="AU64:AU68" si="63">AR64*30%</f>
        <v>0</v>
      </c>
      <c r="AV64" s="433"/>
      <c r="AW64" s="434"/>
      <c r="AX64" s="435">
        <v>0</v>
      </c>
      <c r="AY64" s="436">
        <f t="shared" ref="AY64:AY68" si="64">AV64*30%</f>
        <v>0</v>
      </c>
      <c r="AZ64" s="690">
        <f t="shared" si="14"/>
        <v>0</v>
      </c>
      <c r="BA64" s="691"/>
      <c r="BB64" s="691"/>
      <c r="BC64" s="624"/>
      <c r="BD64" s="692"/>
      <c r="BE64" s="692"/>
      <c r="BF64" s="692">
        <f t="shared" si="15"/>
        <v>0</v>
      </c>
      <c r="BG64" s="214">
        <f t="shared" si="16"/>
        <v>53777.4</v>
      </c>
      <c r="BH64" s="214">
        <f t="shared" si="56"/>
        <v>53777.4</v>
      </c>
      <c r="BI64" s="214">
        <f t="shared" si="55"/>
        <v>53777.4</v>
      </c>
      <c r="BJ64" s="214">
        <f t="shared" si="61"/>
        <v>53777.4</v>
      </c>
      <c r="BK64" s="214">
        <f t="shared" si="62"/>
        <v>53777.4</v>
      </c>
      <c r="BL64" s="214">
        <f t="shared" si="8"/>
        <v>53777.4</v>
      </c>
      <c r="BM64" s="214">
        <f t="shared" si="9"/>
        <v>53777.4</v>
      </c>
      <c r="BN64" s="214"/>
      <c r="BO64" s="214">
        <f t="shared" si="58"/>
        <v>-458222.6</v>
      </c>
      <c r="BP64" s="214">
        <f t="shared" si="58"/>
        <v>-458222.6</v>
      </c>
      <c r="BQ64" s="214">
        <f t="shared" si="58"/>
        <v>-458222.6</v>
      </c>
      <c r="BR64" s="214">
        <f t="shared" si="57"/>
        <v>-458222.6</v>
      </c>
      <c r="BS64" s="214">
        <f t="shared" si="57"/>
        <v>-458222.6</v>
      </c>
      <c r="BT64" s="214">
        <f t="shared" si="57"/>
        <v>-458222.6</v>
      </c>
      <c r="BU64" s="214">
        <f t="shared" si="57"/>
        <v>-458222.6</v>
      </c>
    </row>
    <row r="65" spans="1:73" s="215" customFormat="1" x14ac:dyDescent="0.2">
      <c r="A65" s="201">
        <v>47</v>
      </c>
      <c r="B65" s="202">
        <v>126</v>
      </c>
      <c r="C65" s="237" t="s">
        <v>166</v>
      </c>
      <c r="D65" s="238">
        <v>27500</v>
      </c>
      <c r="E65" s="239"/>
      <c r="F65" s="240">
        <v>0.5</v>
      </c>
      <c r="G65" s="241">
        <f t="shared" si="11"/>
        <v>8250</v>
      </c>
      <c r="H65" s="242">
        <v>35000</v>
      </c>
      <c r="I65" s="243"/>
      <c r="J65" s="240">
        <v>0.5</v>
      </c>
      <c r="K65" s="244">
        <f t="shared" si="12"/>
        <v>10500</v>
      </c>
      <c r="L65" s="242">
        <f>1666.67+26839.96</f>
        <v>28506.63</v>
      </c>
      <c r="M65" s="245">
        <v>26839.96</v>
      </c>
      <c r="N65" s="240">
        <v>0.5</v>
      </c>
      <c r="O65" s="244">
        <f t="shared" si="13"/>
        <v>8551.99</v>
      </c>
      <c r="P65" s="242">
        <v>35000</v>
      </c>
      <c r="Q65" s="243"/>
      <c r="R65" s="240">
        <v>0.5</v>
      </c>
      <c r="S65" s="244">
        <f t="shared" si="19"/>
        <v>10500</v>
      </c>
      <c r="T65" s="242">
        <v>35000</v>
      </c>
      <c r="U65" s="246"/>
      <c r="V65" s="240">
        <v>0.5</v>
      </c>
      <c r="W65" s="244">
        <f t="shared" si="34"/>
        <v>10500</v>
      </c>
      <c r="X65" s="242">
        <v>35000</v>
      </c>
      <c r="Y65" s="246"/>
      <c r="Z65" s="240">
        <v>0.5</v>
      </c>
      <c r="AA65" s="244">
        <f t="shared" si="36"/>
        <v>10500</v>
      </c>
      <c r="AB65" s="439">
        <v>35000</v>
      </c>
      <c r="AC65" s="440"/>
      <c r="AD65" s="441">
        <v>0.5</v>
      </c>
      <c r="AE65" s="442">
        <f t="shared" si="47"/>
        <v>10500</v>
      </c>
      <c r="AF65" s="439">
        <v>35000</v>
      </c>
      <c r="AG65" s="440"/>
      <c r="AH65" s="441">
        <v>0.5</v>
      </c>
      <c r="AI65" s="442">
        <f t="shared" si="48"/>
        <v>10500</v>
      </c>
      <c r="AJ65" s="439">
        <v>35000</v>
      </c>
      <c r="AK65" s="440"/>
      <c r="AL65" s="441">
        <v>0.5</v>
      </c>
      <c r="AM65" s="442">
        <f t="shared" si="49"/>
        <v>10500</v>
      </c>
      <c r="AN65" s="439">
        <v>35000</v>
      </c>
      <c r="AO65" s="440"/>
      <c r="AP65" s="441">
        <v>0.5</v>
      </c>
      <c r="AQ65" s="442">
        <f t="shared" si="59"/>
        <v>10500</v>
      </c>
      <c r="AR65" s="439">
        <v>35000</v>
      </c>
      <c r="AS65" s="440"/>
      <c r="AT65" s="441">
        <v>0.5</v>
      </c>
      <c r="AU65" s="442">
        <f t="shared" si="63"/>
        <v>10500</v>
      </c>
      <c r="AV65" s="439">
        <v>35000</v>
      </c>
      <c r="AW65" s="440"/>
      <c r="AX65" s="441">
        <v>0.5</v>
      </c>
      <c r="AY65" s="442">
        <f t="shared" si="64"/>
        <v>10500</v>
      </c>
      <c r="AZ65" s="690">
        <f t="shared" si="14"/>
        <v>70</v>
      </c>
      <c r="BA65" s="691"/>
      <c r="BB65" s="691"/>
      <c r="BC65" s="624"/>
      <c r="BD65" s="692"/>
      <c r="BE65" s="692">
        <f>AV65+BC65</f>
        <v>35000</v>
      </c>
      <c r="BF65" s="692">
        <f t="shared" si="15"/>
        <v>10570</v>
      </c>
      <c r="BG65" s="214">
        <f t="shared" si="16"/>
        <v>196006.63</v>
      </c>
      <c r="BH65" s="214">
        <f t="shared" si="56"/>
        <v>231006.63</v>
      </c>
      <c r="BI65" s="214">
        <f t="shared" si="55"/>
        <v>266006.63</v>
      </c>
      <c r="BJ65" s="214">
        <f t="shared" si="61"/>
        <v>301006.63</v>
      </c>
      <c r="BK65" s="214">
        <f t="shared" si="62"/>
        <v>336006.63</v>
      </c>
      <c r="BL65" s="214">
        <f t="shared" si="8"/>
        <v>371006.63</v>
      </c>
      <c r="BM65" s="214">
        <f t="shared" si="9"/>
        <v>406006.63</v>
      </c>
      <c r="BN65" s="214"/>
      <c r="BO65" s="214">
        <f t="shared" si="58"/>
        <v>-315993.37</v>
      </c>
      <c r="BP65" s="214">
        <f t="shared" si="58"/>
        <v>-280993.37</v>
      </c>
      <c r="BQ65" s="214">
        <f t="shared" si="58"/>
        <v>-245993.37</v>
      </c>
      <c r="BR65" s="214">
        <f t="shared" si="57"/>
        <v>-210993.37</v>
      </c>
      <c r="BS65" s="214">
        <f t="shared" si="57"/>
        <v>-175993.37</v>
      </c>
      <c r="BT65" s="214">
        <f t="shared" si="57"/>
        <v>-140993.37</v>
      </c>
      <c r="BU65" s="214">
        <f t="shared" si="57"/>
        <v>-105993.37</v>
      </c>
    </row>
    <row r="66" spans="1:73" s="215" customFormat="1" x14ac:dyDescent="0.2">
      <c r="A66" s="201">
        <v>48</v>
      </c>
      <c r="B66" s="202">
        <v>125</v>
      </c>
      <c r="C66" s="237" t="s">
        <v>167</v>
      </c>
      <c r="D66" s="238">
        <v>13500</v>
      </c>
      <c r="E66" s="239"/>
      <c r="F66" s="240">
        <v>0.5</v>
      </c>
      <c r="G66" s="241">
        <f t="shared" si="11"/>
        <v>4050</v>
      </c>
      <c r="H66" s="242">
        <v>15000</v>
      </c>
      <c r="I66" s="243"/>
      <c r="J66" s="240">
        <v>0.5</v>
      </c>
      <c r="K66" s="244">
        <f t="shared" si="12"/>
        <v>4500</v>
      </c>
      <c r="L66" s="242">
        <f>714.29+12986.96</f>
        <v>13701.25</v>
      </c>
      <c r="M66" s="245">
        <v>12986.96</v>
      </c>
      <c r="N66" s="240">
        <v>0.5</v>
      </c>
      <c r="O66" s="244">
        <f t="shared" si="13"/>
        <v>4110.38</v>
      </c>
      <c r="P66" s="242">
        <v>15000</v>
      </c>
      <c r="Q66" s="243"/>
      <c r="R66" s="240">
        <v>0.5</v>
      </c>
      <c r="S66" s="244">
        <f t="shared" si="19"/>
        <v>4500</v>
      </c>
      <c r="T66" s="242">
        <v>15000</v>
      </c>
      <c r="U66" s="246"/>
      <c r="V66" s="240">
        <v>0.5</v>
      </c>
      <c r="W66" s="244">
        <f t="shared" si="34"/>
        <v>4500</v>
      </c>
      <c r="X66" s="242">
        <v>15000</v>
      </c>
      <c r="Y66" s="246"/>
      <c r="Z66" s="240">
        <v>0.5</v>
      </c>
      <c r="AA66" s="244">
        <f t="shared" si="36"/>
        <v>4500</v>
      </c>
      <c r="AB66" s="439">
        <v>15000</v>
      </c>
      <c r="AC66" s="440"/>
      <c r="AD66" s="441">
        <v>0.5</v>
      </c>
      <c r="AE66" s="442">
        <f t="shared" si="47"/>
        <v>4500</v>
      </c>
      <c r="AF66" s="439">
        <v>15000</v>
      </c>
      <c r="AG66" s="440"/>
      <c r="AH66" s="441">
        <v>0.5</v>
      </c>
      <c r="AI66" s="442">
        <f t="shared" si="48"/>
        <v>4500</v>
      </c>
      <c r="AJ66" s="439">
        <v>15000</v>
      </c>
      <c r="AK66" s="440"/>
      <c r="AL66" s="441">
        <v>0.5</v>
      </c>
      <c r="AM66" s="442">
        <f t="shared" si="49"/>
        <v>4500</v>
      </c>
      <c r="AN66" s="439">
        <v>15000</v>
      </c>
      <c r="AO66" s="440"/>
      <c r="AP66" s="441">
        <v>0.5</v>
      </c>
      <c r="AQ66" s="442">
        <f t="shared" si="59"/>
        <v>4500</v>
      </c>
      <c r="AR66" s="439">
        <v>15000</v>
      </c>
      <c r="AS66" s="440"/>
      <c r="AT66" s="441">
        <v>0.5</v>
      </c>
      <c r="AU66" s="442">
        <f t="shared" si="63"/>
        <v>4500</v>
      </c>
      <c r="AV66" s="439">
        <v>15000</v>
      </c>
      <c r="AW66" s="440"/>
      <c r="AX66" s="441">
        <v>0.5</v>
      </c>
      <c r="AY66" s="442">
        <f t="shared" si="64"/>
        <v>4500</v>
      </c>
      <c r="AZ66" s="690">
        <f t="shared" si="14"/>
        <v>30</v>
      </c>
      <c r="BA66" s="691"/>
      <c r="BB66" s="691"/>
      <c r="BC66" s="624"/>
      <c r="BD66" s="692"/>
      <c r="BE66" s="692">
        <f>AV66+BC66</f>
        <v>15000</v>
      </c>
      <c r="BF66" s="692">
        <f t="shared" si="15"/>
        <v>4530</v>
      </c>
      <c r="BG66" s="214">
        <f t="shared" si="16"/>
        <v>87201.25</v>
      </c>
      <c r="BH66" s="214">
        <f t="shared" si="56"/>
        <v>102201.25</v>
      </c>
      <c r="BI66" s="214">
        <f t="shared" si="55"/>
        <v>117201.25</v>
      </c>
      <c r="BJ66" s="214">
        <f t="shared" si="61"/>
        <v>132201.25</v>
      </c>
      <c r="BK66" s="214">
        <f t="shared" si="62"/>
        <v>147201.25</v>
      </c>
      <c r="BL66" s="214">
        <f t="shared" si="8"/>
        <v>162201.25</v>
      </c>
      <c r="BM66" s="214">
        <f t="shared" si="9"/>
        <v>177201.25</v>
      </c>
      <c r="BN66" s="214"/>
      <c r="BO66" s="214">
        <f t="shared" si="58"/>
        <v>-424798.75</v>
      </c>
      <c r="BP66" s="214">
        <f t="shared" si="58"/>
        <v>-409798.75</v>
      </c>
      <c r="BQ66" s="214">
        <f t="shared" si="58"/>
        <v>-394798.75</v>
      </c>
      <c r="BR66" s="214">
        <f t="shared" si="57"/>
        <v>-379798.75</v>
      </c>
      <c r="BS66" s="214">
        <f t="shared" si="57"/>
        <v>-364798.75</v>
      </c>
      <c r="BT66" s="214">
        <f t="shared" si="57"/>
        <v>-349798.75</v>
      </c>
      <c r="BU66" s="214">
        <f t="shared" si="57"/>
        <v>-334798.75</v>
      </c>
    </row>
    <row r="67" spans="1:73" s="593" customFormat="1" x14ac:dyDescent="0.2">
      <c r="A67" s="577"/>
      <c r="B67" s="578">
        <v>155</v>
      </c>
      <c r="C67" s="579" t="s">
        <v>294</v>
      </c>
      <c r="D67" s="580"/>
      <c r="E67" s="581"/>
      <c r="F67" s="582"/>
      <c r="G67" s="583"/>
      <c r="H67" s="584"/>
      <c r="I67" s="585"/>
      <c r="J67" s="582"/>
      <c r="K67" s="586"/>
      <c r="L67" s="584"/>
      <c r="M67" s="587"/>
      <c r="N67" s="582"/>
      <c r="O67" s="586"/>
      <c r="P67" s="584"/>
      <c r="Q67" s="585"/>
      <c r="R67" s="582"/>
      <c r="S67" s="586"/>
      <c r="T67" s="584"/>
      <c r="U67" s="588"/>
      <c r="V67" s="582"/>
      <c r="W67" s="586"/>
      <c r="X67" s="584"/>
      <c r="Y67" s="588"/>
      <c r="Z67" s="582"/>
      <c r="AA67" s="586"/>
      <c r="AB67" s="507"/>
      <c r="AC67" s="576"/>
      <c r="AD67" s="509"/>
      <c r="AE67" s="589"/>
      <c r="AF67" s="507"/>
      <c r="AG67" s="576"/>
      <c r="AH67" s="509"/>
      <c r="AI67" s="589"/>
      <c r="AJ67" s="507">
        <v>66000</v>
      </c>
      <c r="AK67" s="576"/>
      <c r="AL67" s="509">
        <v>1</v>
      </c>
      <c r="AM67" s="589">
        <f t="shared" si="49"/>
        <v>19800</v>
      </c>
      <c r="AN67" s="507">
        <v>66000</v>
      </c>
      <c r="AO67" s="576"/>
      <c r="AP67" s="509">
        <v>1</v>
      </c>
      <c r="AQ67" s="589">
        <f t="shared" si="59"/>
        <v>19800</v>
      </c>
      <c r="AR67" s="507">
        <v>66000</v>
      </c>
      <c r="AS67" s="576"/>
      <c r="AT67" s="509">
        <v>1</v>
      </c>
      <c r="AU67" s="589">
        <f t="shared" si="63"/>
        <v>19800</v>
      </c>
      <c r="AV67" s="507">
        <v>66000</v>
      </c>
      <c r="AW67" s="576"/>
      <c r="AX67" s="509">
        <v>1</v>
      </c>
      <c r="AY67" s="589">
        <f t="shared" si="64"/>
        <v>19800</v>
      </c>
      <c r="AZ67" s="690">
        <f t="shared" si="14"/>
        <v>132</v>
      </c>
      <c r="BA67" s="691"/>
      <c r="BB67" s="691"/>
      <c r="BC67" s="624"/>
      <c r="BD67" s="692"/>
      <c r="BE67" s="692">
        <f>AV67+BC67</f>
        <v>66000</v>
      </c>
      <c r="BF67" s="692">
        <f t="shared" si="15"/>
        <v>19932</v>
      </c>
      <c r="BG67" s="591"/>
      <c r="BH67" s="591"/>
      <c r="BI67" s="591"/>
      <c r="BJ67" s="214">
        <f t="shared" si="61"/>
        <v>66000</v>
      </c>
      <c r="BK67" s="214">
        <f t="shared" si="62"/>
        <v>132000</v>
      </c>
      <c r="BL67" s="214">
        <f t="shared" si="8"/>
        <v>198000</v>
      </c>
      <c r="BM67" s="214">
        <f t="shared" si="9"/>
        <v>264000</v>
      </c>
      <c r="BN67" s="591"/>
      <c r="BO67" s="591"/>
      <c r="BP67" s="591"/>
      <c r="BQ67" s="591"/>
      <c r="BR67" s="214">
        <f t="shared" si="57"/>
        <v>-446000</v>
      </c>
      <c r="BS67" s="214">
        <f t="shared" si="57"/>
        <v>-380000</v>
      </c>
      <c r="BT67" s="214">
        <f t="shared" si="57"/>
        <v>-314000</v>
      </c>
      <c r="BU67" s="214">
        <f t="shared" si="57"/>
        <v>-248000</v>
      </c>
    </row>
    <row r="68" spans="1:73" s="215" customFormat="1" x14ac:dyDescent="0.2">
      <c r="A68" s="201">
        <v>49</v>
      </c>
      <c r="B68" s="202">
        <v>43</v>
      </c>
      <c r="C68" s="257" t="s">
        <v>168</v>
      </c>
      <c r="D68" s="217">
        <v>0</v>
      </c>
      <c r="E68" s="218"/>
      <c r="F68" s="219">
        <v>0</v>
      </c>
      <c r="G68" s="220">
        <f t="shared" si="11"/>
        <v>0</v>
      </c>
      <c r="H68" s="258">
        <v>25500</v>
      </c>
      <c r="I68" s="259"/>
      <c r="J68" s="219">
        <f>24/29</f>
        <v>0.8276</v>
      </c>
      <c r="K68" s="260">
        <f t="shared" si="12"/>
        <v>7650</v>
      </c>
      <c r="L68" s="258">
        <v>30000</v>
      </c>
      <c r="M68" s="261"/>
      <c r="N68" s="219">
        <v>1</v>
      </c>
      <c r="O68" s="260">
        <f t="shared" si="13"/>
        <v>9000</v>
      </c>
      <c r="P68" s="258">
        <v>30000</v>
      </c>
      <c r="Q68" s="259"/>
      <c r="R68" s="219">
        <v>1</v>
      </c>
      <c r="S68" s="260">
        <f t="shared" si="19"/>
        <v>9000</v>
      </c>
      <c r="T68" s="258">
        <v>30000</v>
      </c>
      <c r="U68" s="262"/>
      <c r="V68" s="219">
        <v>1</v>
      </c>
      <c r="W68" s="260">
        <f t="shared" si="34"/>
        <v>9000</v>
      </c>
      <c r="X68" s="258">
        <v>29526.39</v>
      </c>
      <c r="Y68" s="262">
        <v>1026.3900000000001</v>
      </c>
      <c r="Z68" s="219">
        <v>1</v>
      </c>
      <c r="AA68" s="260">
        <f t="shared" si="36"/>
        <v>8857.92</v>
      </c>
      <c r="AB68" s="467">
        <v>22147.13</v>
      </c>
      <c r="AC68" s="451">
        <v>11238.04</v>
      </c>
      <c r="AD68" s="452">
        <v>1</v>
      </c>
      <c r="AE68" s="469">
        <f t="shared" si="47"/>
        <v>6644.14</v>
      </c>
      <c r="AF68" s="467">
        <v>30000</v>
      </c>
      <c r="AG68" s="451"/>
      <c r="AH68" s="452">
        <v>1</v>
      </c>
      <c r="AI68" s="469">
        <f t="shared" si="48"/>
        <v>9000</v>
      </c>
      <c r="AJ68" s="467">
        <v>30000</v>
      </c>
      <c r="AK68" s="451"/>
      <c r="AL68" s="452">
        <v>1</v>
      </c>
      <c r="AM68" s="469">
        <f t="shared" si="49"/>
        <v>9000</v>
      </c>
      <c r="AN68" s="467">
        <v>29099.98</v>
      </c>
      <c r="AO68" s="451">
        <v>3013.02</v>
      </c>
      <c r="AP68" s="452">
        <v>1</v>
      </c>
      <c r="AQ68" s="469">
        <f t="shared" si="59"/>
        <v>8729.99</v>
      </c>
      <c r="AR68" s="467">
        <v>30000</v>
      </c>
      <c r="AS68" s="451"/>
      <c r="AT68" s="452">
        <v>1</v>
      </c>
      <c r="AU68" s="469">
        <f t="shared" si="63"/>
        <v>9000</v>
      </c>
      <c r="AV68" s="467">
        <v>30000</v>
      </c>
      <c r="AW68" s="451"/>
      <c r="AX68" s="452">
        <v>1</v>
      </c>
      <c r="AY68" s="469">
        <f t="shared" si="64"/>
        <v>9000</v>
      </c>
      <c r="AZ68" s="690">
        <f t="shared" si="14"/>
        <v>60</v>
      </c>
      <c r="BA68" s="691"/>
      <c r="BB68" s="691"/>
      <c r="BC68" s="624"/>
      <c r="BD68" s="692"/>
      <c r="BE68" s="692">
        <f>AV68+BC68</f>
        <v>30000</v>
      </c>
      <c r="BF68" s="692">
        <f t="shared" si="15"/>
        <v>9060</v>
      </c>
      <c r="BG68" s="214">
        <f t="shared" si="16"/>
        <v>145026.39000000001</v>
      </c>
      <c r="BH68" s="214">
        <f>BG68+AB68</f>
        <v>167173.51999999999</v>
      </c>
      <c r="BI68" s="214">
        <f>BH68+AF68</f>
        <v>197173.52</v>
      </c>
      <c r="BJ68" s="214">
        <f t="shared" si="61"/>
        <v>227173.52</v>
      </c>
      <c r="BK68" s="214">
        <f t="shared" si="62"/>
        <v>256273.5</v>
      </c>
      <c r="BL68" s="214">
        <f t="shared" si="8"/>
        <v>286273.5</v>
      </c>
      <c r="BM68" s="214">
        <f t="shared" si="9"/>
        <v>316273.5</v>
      </c>
      <c r="BN68" s="214"/>
      <c r="BO68" s="214">
        <f t="shared" si="58"/>
        <v>-366973.61</v>
      </c>
      <c r="BP68" s="214">
        <f t="shared" si="58"/>
        <v>-344826.48</v>
      </c>
      <c r="BQ68" s="214">
        <f t="shared" si="58"/>
        <v>-314826.48</v>
      </c>
      <c r="BR68" s="214">
        <f t="shared" si="57"/>
        <v>-284826.48</v>
      </c>
      <c r="BS68" s="214">
        <f t="shared" si="57"/>
        <v>-255726.5</v>
      </c>
      <c r="BT68" s="214">
        <f t="shared" si="57"/>
        <v>-225726.5</v>
      </c>
      <c r="BU68" s="214">
        <f t="shared" si="57"/>
        <v>-195726.5</v>
      </c>
    </row>
    <row r="69" spans="1:73" s="215" customFormat="1" x14ac:dyDescent="0.2">
      <c r="A69" s="201">
        <v>50</v>
      </c>
      <c r="B69" s="202">
        <v>120</v>
      </c>
      <c r="C69" s="203" t="s">
        <v>169</v>
      </c>
      <c r="D69" s="204">
        <v>25000</v>
      </c>
      <c r="E69" s="205"/>
      <c r="F69" s="206">
        <v>1</v>
      </c>
      <c r="G69" s="207">
        <f t="shared" si="11"/>
        <v>7500</v>
      </c>
      <c r="H69" s="208">
        <v>66000</v>
      </c>
      <c r="I69" s="209"/>
      <c r="J69" s="210">
        <v>1</v>
      </c>
      <c r="K69" s="211">
        <f t="shared" si="12"/>
        <v>19800</v>
      </c>
      <c r="L69" s="208">
        <v>66000</v>
      </c>
      <c r="M69" s="212"/>
      <c r="N69" s="210">
        <v>1</v>
      </c>
      <c r="O69" s="211">
        <f t="shared" si="13"/>
        <v>19800</v>
      </c>
      <c r="P69" s="208">
        <v>66000</v>
      </c>
      <c r="Q69" s="209"/>
      <c r="R69" s="210">
        <v>1</v>
      </c>
      <c r="S69" s="211">
        <f t="shared" si="19"/>
        <v>19800</v>
      </c>
      <c r="T69" s="208">
        <v>66000</v>
      </c>
      <c r="U69" s="213"/>
      <c r="V69" s="210">
        <v>1</v>
      </c>
      <c r="W69" s="211">
        <f t="shared" si="34"/>
        <v>19800</v>
      </c>
      <c r="X69" s="208">
        <v>66000</v>
      </c>
      <c r="Y69" s="213"/>
      <c r="Z69" s="210">
        <v>1</v>
      </c>
      <c r="AA69" s="211">
        <f t="shared" si="36"/>
        <v>19800</v>
      </c>
      <c r="AB69" s="429">
        <v>64610.1</v>
      </c>
      <c r="AC69" s="430">
        <v>22610.1</v>
      </c>
      <c r="AD69" s="431">
        <v>1</v>
      </c>
      <c r="AE69" s="432">
        <f t="shared" si="47"/>
        <v>19383.03</v>
      </c>
      <c r="AF69" s="429">
        <v>57391.3</v>
      </c>
      <c r="AG69" s="430"/>
      <c r="AH69" s="431">
        <v>1</v>
      </c>
      <c r="AI69" s="432">
        <f t="shared" si="48"/>
        <v>17217.39</v>
      </c>
      <c r="AJ69" s="450">
        <v>66000</v>
      </c>
      <c r="AK69" s="576"/>
      <c r="AL69" s="509">
        <v>1</v>
      </c>
      <c r="AM69" s="453">
        <f>(543001.4-512000)*10%+(66000-31001.4)*30%</f>
        <v>13599.72</v>
      </c>
      <c r="AN69" s="450">
        <v>77000</v>
      </c>
      <c r="AO69" s="430"/>
      <c r="AP69" s="431">
        <v>1</v>
      </c>
      <c r="AQ69" s="453">
        <f>AN69*10%</f>
        <v>7700</v>
      </c>
      <c r="AR69" s="450">
        <v>77000</v>
      </c>
      <c r="AS69" s="430"/>
      <c r="AT69" s="431">
        <v>1</v>
      </c>
      <c r="AU69" s="453">
        <f>AR69*10%</f>
        <v>7700</v>
      </c>
      <c r="AV69" s="450">
        <v>77000</v>
      </c>
      <c r="AW69" s="430"/>
      <c r="AX69" s="431">
        <v>1</v>
      </c>
      <c r="AY69" s="453">
        <f>AV69*10%</f>
        <v>7700</v>
      </c>
      <c r="AZ69" s="690">
        <f t="shared" si="14"/>
        <v>154</v>
      </c>
      <c r="BA69" s="691"/>
      <c r="BB69" s="691"/>
      <c r="BC69" s="693">
        <f>AV69*$BD$73</f>
        <v>154000</v>
      </c>
      <c r="BD69" s="694">
        <f>BC69*10.2%</f>
        <v>15708</v>
      </c>
      <c r="BE69" s="692">
        <f>AV69+BC69</f>
        <v>231000</v>
      </c>
      <c r="BF69" s="692">
        <f t="shared" si="15"/>
        <v>23562</v>
      </c>
      <c r="BG69" s="214">
        <f t="shared" si="16"/>
        <v>355000</v>
      </c>
      <c r="BH69" s="214">
        <f>BG69+AB69</f>
        <v>419610.1</v>
      </c>
      <c r="BI69" s="214">
        <f>BH69+AF69</f>
        <v>477001.4</v>
      </c>
      <c r="BJ69" s="454">
        <f t="shared" si="61"/>
        <v>543001.4</v>
      </c>
      <c r="BK69" s="454">
        <f t="shared" si="62"/>
        <v>620001.4</v>
      </c>
      <c r="BL69" s="454">
        <f t="shared" ref="BL69" si="65">BK69+AR69</f>
        <v>697001.4</v>
      </c>
      <c r="BM69" s="454">
        <f t="shared" ref="BM69" si="66">BL69+AV69</f>
        <v>774001.4</v>
      </c>
      <c r="BN69" s="214"/>
      <c r="BO69" s="214">
        <f t="shared" si="58"/>
        <v>-157000</v>
      </c>
      <c r="BP69" s="214">
        <f t="shared" si="58"/>
        <v>-92389.9</v>
      </c>
      <c r="BQ69" s="214">
        <f t="shared" si="58"/>
        <v>-34998.6</v>
      </c>
      <c r="BR69" s="455">
        <f t="shared" si="57"/>
        <v>31001.4</v>
      </c>
      <c r="BS69" s="455">
        <f t="shared" si="57"/>
        <v>108001.4</v>
      </c>
      <c r="BT69" s="455">
        <f t="shared" si="57"/>
        <v>185001.4</v>
      </c>
      <c r="BU69" s="455">
        <f t="shared" si="57"/>
        <v>262001.4</v>
      </c>
    </row>
    <row r="70" spans="1:73" s="299" customFormat="1" x14ac:dyDescent="0.2">
      <c r="A70" s="288"/>
      <c r="B70" s="289"/>
      <c r="C70" s="290" t="s">
        <v>170</v>
      </c>
      <c r="D70" s="291">
        <f>SUM(D5:D69)</f>
        <v>1280342.5</v>
      </c>
      <c r="E70" s="292"/>
      <c r="F70" s="293">
        <f>SUM(F5:F69)</f>
        <v>32.907299999999999</v>
      </c>
      <c r="G70" s="294">
        <f>D70*30%</f>
        <v>384102.75</v>
      </c>
      <c r="H70" s="295">
        <f>SUM(H5:H69)</f>
        <v>1972533.56</v>
      </c>
      <c r="I70" s="296"/>
      <c r="J70" s="293">
        <f>SUM(J5:J69)</f>
        <v>34.25</v>
      </c>
      <c r="K70" s="297">
        <f t="shared" si="12"/>
        <v>591760.06999999995</v>
      </c>
      <c r="L70" s="295">
        <f>SUM(L5:L69)</f>
        <v>1894314.26</v>
      </c>
      <c r="M70" s="295">
        <f>SUM(M5:M69)</f>
        <v>648104.73</v>
      </c>
      <c r="N70" s="293">
        <f>SUM(N5:N69)</f>
        <v>34.951700000000002</v>
      </c>
      <c r="O70" s="297">
        <f t="shared" si="13"/>
        <v>568294.28</v>
      </c>
      <c r="P70" s="295">
        <f>SUM(P5:P69)</f>
        <v>1953053.77</v>
      </c>
      <c r="Q70" s="295">
        <f>SUM(Q5:Q69)</f>
        <v>33225.21</v>
      </c>
      <c r="R70" s="293">
        <f>SUM(R5:R69)</f>
        <v>35</v>
      </c>
      <c r="S70" s="297">
        <f t="shared" si="19"/>
        <v>585916.13</v>
      </c>
      <c r="T70" s="295">
        <f t="shared" ref="T70:Z70" si="67">SUM(T5:T69)</f>
        <v>1953876.52</v>
      </c>
      <c r="U70" s="298">
        <f t="shared" si="67"/>
        <v>17143.189999999999</v>
      </c>
      <c r="V70" s="293">
        <f t="shared" si="67"/>
        <v>35</v>
      </c>
      <c r="W70" s="297">
        <f t="shared" si="67"/>
        <v>580112.96</v>
      </c>
      <c r="X70" s="295">
        <f t="shared" si="67"/>
        <v>2041507.71</v>
      </c>
      <c r="Y70" s="298">
        <f t="shared" si="67"/>
        <v>125275.57</v>
      </c>
      <c r="Z70" s="293">
        <f t="shared" si="67"/>
        <v>36.283299999999997</v>
      </c>
      <c r="AA70" s="297">
        <f>SUM(AA5:AA69)</f>
        <v>546980.48</v>
      </c>
      <c r="AB70" s="479">
        <f>SUM(AB5:AB69)</f>
        <v>2021058.86</v>
      </c>
      <c r="AC70" s="480">
        <f t="shared" ref="AC70:AE70" si="68">SUM(AC5:AC69)</f>
        <v>82546.73</v>
      </c>
      <c r="AD70" s="481">
        <f t="shared" si="68"/>
        <v>37.871000000000002</v>
      </c>
      <c r="AE70" s="482">
        <f t="shared" si="68"/>
        <v>494391.92</v>
      </c>
      <c r="AF70" s="479">
        <f>SUM(AF5:AF69)</f>
        <v>2085066.32</v>
      </c>
      <c r="AG70" s="480">
        <f t="shared" ref="AG70:AI70" si="69">SUM(AG5:AG69)</f>
        <v>120234.27</v>
      </c>
      <c r="AH70" s="481">
        <f t="shared" si="69"/>
        <v>38</v>
      </c>
      <c r="AI70" s="482">
        <f t="shared" si="69"/>
        <v>490055.75</v>
      </c>
      <c r="AJ70" s="479">
        <f>SUM(AJ5:AJ69)</f>
        <v>2360688.09</v>
      </c>
      <c r="AK70" s="480">
        <f t="shared" ref="AK70:AM70" si="70">SUM(AK5:AK69)</f>
        <v>75014.78</v>
      </c>
      <c r="AL70" s="481">
        <f t="shared" si="70"/>
        <v>44.833399999999997</v>
      </c>
      <c r="AM70" s="482">
        <f t="shared" si="70"/>
        <v>550465.62</v>
      </c>
      <c r="AN70" s="479">
        <f>SUM(AN5:AN69)</f>
        <v>2481024.25</v>
      </c>
      <c r="AO70" s="480">
        <f t="shared" ref="AO70:AQ70" si="71">SUM(AO5:AO69)</f>
        <v>86967.1</v>
      </c>
      <c r="AP70" s="481">
        <f t="shared" si="71"/>
        <v>43.709699999999998</v>
      </c>
      <c r="AQ70" s="482">
        <f t="shared" si="71"/>
        <v>541913.19999999995</v>
      </c>
      <c r="AR70" s="479">
        <f>SUM(AR5:AR69)</f>
        <v>2442561.29</v>
      </c>
      <c r="AS70" s="480">
        <f t="shared" ref="AS70:AU70" si="72">SUM(AS5:AS69)</f>
        <v>38530.639999999999</v>
      </c>
      <c r="AT70" s="481">
        <f t="shared" si="72"/>
        <v>43.5</v>
      </c>
      <c r="AU70" s="482">
        <f t="shared" si="72"/>
        <v>521973.96</v>
      </c>
      <c r="AV70" s="479">
        <f>SUM(AV5:AV69)</f>
        <v>2450438.91</v>
      </c>
      <c r="AW70" s="480">
        <f t="shared" ref="AW70:AY70" si="73">SUM(AW5:AW69)</f>
        <v>7931.77</v>
      </c>
      <c r="AX70" s="481">
        <f t="shared" si="73"/>
        <v>43.5</v>
      </c>
      <c r="AY70" s="482">
        <f t="shared" si="73"/>
        <v>496747.06</v>
      </c>
      <c r="AZ70" s="697"/>
      <c r="BA70" s="698">
        <f>AV70+AR70+AN70+AJ70+AF70+AB70+X70+T70+P70+L70+H70+D70</f>
        <v>24936466.039999999</v>
      </c>
      <c r="BB70" s="698">
        <f>AY70+AU70+AQ70+AM70+AI70+AE70+AA70+W70+S70+O70+K70+G70</f>
        <v>6352714.1799999997</v>
      </c>
      <c r="BC70" s="699">
        <f>SUM(BC5:BC69)</f>
        <v>2464800</v>
      </c>
      <c r="BD70" s="699">
        <f>SUM(BD5:BD69)</f>
        <v>251409.6</v>
      </c>
      <c r="BE70" s="291">
        <f>SUM(BE5:BE69)</f>
        <v>4915238.91</v>
      </c>
      <c r="BF70" s="291">
        <f>SUM(BF5:BF69)</f>
        <v>753057.54</v>
      </c>
      <c r="BG70" s="700"/>
      <c r="BO70" s="299">
        <f t="shared" si="58"/>
        <v>-512000</v>
      </c>
      <c r="BU70" s="214"/>
    </row>
    <row r="71" spans="1:73" x14ac:dyDescent="0.2">
      <c r="A71" s="300"/>
      <c r="B71" s="301"/>
      <c r="C71" s="302" t="s">
        <v>171</v>
      </c>
      <c r="D71" s="303">
        <f>D17+D28+D30+D32+D33+D42+D8</f>
        <v>241063.99</v>
      </c>
      <c r="E71" s="304"/>
      <c r="F71" s="305">
        <f>F8+F17+F28+F30+F32+F33+F42</f>
        <v>5</v>
      </c>
      <c r="G71" s="306">
        <f>G8+G17+G28+G30+G32+G33+G42</f>
        <v>72319.210000000006</v>
      </c>
      <c r="H71" s="307">
        <f>H17+H28+H30+H32+H33+H42+H68</f>
        <v>573500</v>
      </c>
      <c r="I71" s="304"/>
      <c r="J71" s="305">
        <f>J17+J28+J30+J32+J33+J42+J68</f>
        <v>6.3276000000000003</v>
      </c>
      <c r="K71" s="306">
        <f>K17+K28+K30+K32+K33+K42+K68</f>
        <v>172050</v>
      </c>
      <c r="L71" s="307">
        <f>L17+L28+L30+L32+L42+L68</f>
        <v>461490.93</v>
      </c>
      <c r="M71" s="304">
        <f>M17+M42</f>
        <v>58348.08</v>
      </c>
      <c r="N71" s="305">
        <f>N17+N28+N30+N32+N42+N68</f>
        <v>6</v>
      </c>
      <c r="O71" s="306">
        <f>O17+O28+O30+O32+O42+O68</f>
        <v>138447.28</v>
      </c>
      <c r="P71" s="307">
        <f>P17+P28+P30+P32+P42+P68</f>
        <v>486490.18</v>
      </c>
      <c r="Q71" s="304">
        <f>Q30</f>
        <v>8490.18</v>
      </c>
      <c r="R71" s="305">
        <f>R17+R28+R30+R32+R42+R68</f>
        <v>6</v>
      </c>
      <c r="S71" s="306">
        <f>S8+S14+S17+S28+S30+S32+S34+S36+S42+S68</f>
        <v>153447.04999999999</v>
      </c>
      <c r="T71" s="307">
        <f>T17+T28+T30+T32+T42+T68</f>
        <v>490899.23</v>
      </c>
      <c r="U71" s="304">
        <f>U17+U28+U30+U32+U42+U68</f>
        <v>9899.23</v>
      </c>
      <c r="V71" s="305">
        <f>V17+V28+V30+V32+V42+V68</f>
        <v>6</v>
      </c>
      <c r="W71" s="306">
        <f>W8+W14+W17+W28+W30+W32+W34+W36+W42+W68</f>
        <v>148719.76999999999</v>
      </c>
      <c r="X71" s="307">
        <f>X17+X28+X30+X32+X42+X68</f>
        <v>489032.59</v>
      </c>
      <c r="Y71" s="304">
        <f>Y17+Y28+Y30+Y32+Y42+Y68</f>
        <v>19732.59</v>
      </c>
      <c r="Z71" s="305">
        <f>Z17+Z28+Z30+Z32+Z42+Z68</f>
        <v>6</v>
      </c>
      <c r="AA71" s="306">
        <f>AA8+AA14+AA17+AA28+AA30+AA32+AA34+AA36+AA42+AA68</f>
        <v>108428.78</v>
      </c>
      <c r="AB71" s="483">
        <f>AB17+AB28+AB30+AB32+AB42+AB68</f>
        <v>488147.13</v>
      </c>
      <c r="AC71" s="484">
        <f>AC17+AC28+AC30+AC32+AC42+AC68</f>
        <v>11238.04</v>
      </c>
      <c r="AD71" s="485">
        <f>AD17+AD28+AD30+AD32+AD42+AD68</f>
        <v>6</v>
      </c>
      <c r="AE71" s="486">
        <f>AE68+AE42+AE32+AE30+AE28+AE17</f>
        <v>74104.490000000005</v>
      </c>
      <c r="AF71" s="483">
        <f>AF17+AF28+AF30+AF32+AF42+AF68</f>
        <v>493323.38</v>
      </c>
      <c r="AG71" s="484">
        <f>AG17+AG28+AG30+AG32+AG42+AG68</f>
        <v>11949.42</v>
      </c>
      <c r="AH71" s="485">
        <f>AH17+AH28+AH30+AH32+AH42+AH68</f>
        <v>6</v>
      </c>
      <c r="AI71" s="486">
        <f>AI68+AI42+AI32+AI30+AI28+AI17</f>
        <v>63797.01</v>
      </c>
      <c r="AJ71" s="483">
        <f>AJ17+AJ28+AJ30+AJ32+AJ42+AJ68</f>
        <v>495205.68</v>
      </c>
      <c r="AK71" s="484">
        <f>AK17+AK28+AK30+AK32+AK42+AK68</f>
        <v>46705.68</v>
      </c>
      <c r="AL71" s="485">
        <f>AL17+AL28+AL30+AL32+AL42+AL68</f>
        <v>6</v>
      </c>
      <c r="AM71" s="486">
        <f>AM68+AM42+AM32+AM30+AM28+AM17</f>
        <v>64520.57</v>
      </c>
      <c r="AN71" s="483">
        <f>AN17+AN28+AN30+AN32+AN42+AN68</f>
        <v>539099.98</v>
      </c>
      <c r="AO71" s="484">
        <f>AO17+AO28+AO30+AO32+AO42+AO68</f>
        <v>3013.02</v>
      </c>
      <c r="AP71" s="485">
        <f>AP17+AP28+AP30+AP32+AP42+AP68</f>
        <v>6</v>
      </c>
      <c r="AQ71" s="486">
        <f>AQ68+AQ42+AQ32+AQ30+AQ28+AQ17</f>
        <v>69729.990000000005</v>
      </c>
      <c r="AR71" s="483">
        <f>AR17+AR28+AR30+AR32+AR42+AR68</f>
        <v>538573.42000000004</v>
      </c>
      <c r="AS71" s="484">
        <f>AS17+AS28+AS30+AS32+AS42+AS68</f>
        <v>6502.3</v>
      </c>
      <c r="AT71" s="485">
        <f>AT17+AT28+AT30+AT32+AT42+AT68</f>
        <v>6</v>
      </c>
      <c r="AU71" s="486">
        <f>AU68+AU42+AU32+AU30+AU28+AU17</f>
        <v>69572.03</v>
      </c>
      <c r="AV71" s="483">
        <f>AV17+AV28+AV30+AV32+AV42+AV68</f>
        <v>540000</v>
      </c>
      <c r="AW71" s="484">
        <f>AW17+AW28+AW30+AW32+AW42+AW68</f>
        <v>0</v>
      </c>
      <c r="AX71" s="485">
        <f>AX17+AX28+AX30+AX32+AX42+AX68</f>
        <v>6</v>
      </c>
      <c r="AY71" s="486">
        <f>AY68+AY42+AY32+AY30+AY28+AY17</f>
        <v>68095.39</v>
      </c>
      <c r="AZ71" s="701"/>
      <c r="BA71" s="698">
        <f t="shared" ref="BA71:BA72" si="74">AV71+AR71+AN71+AJ71+AF71+AB71+X71+T71+P71+L71+H71+D71</f>
        <v>5836826.5099999998</v>
      </c>
      <c r="BB71" s="698">
        <f t="shared" ref="BB71:BB72" si="75">AY71+AU71+AQ71+AM71+AI71+AE71+AA71+W71+S71+O71+K71+G71</f>
        <v>1203231.57</v>
      </c>
      <c r="BC71" s="702">
        <f>BC17+BC28+BC30+BC32+BC42</f>
        <v>1020000</v>
      </c>
      <c r="BD71" s="702">
        <f>BD17+BD28+BD30+BD32+BD42</f>
        <v>104040</v>
      </c>
      <c r="BE71" s="702">
        <f>BE17+BE28+BE30+BE32+BE42+BE68</f>
        <v>1560000</v>
      </c>
      <c r="BF71" s="702">
        <f>BF17+BF28+BF30+BF32+BF42+BF68</f>
        <v>173215.39</v>
      </c>
      <c r="BG71" s="487"/>
      <c r="BN71" s="487"/>
      <c r="BR71" s="139"/>
    </row>
    <row r="72" spans="1:73" x14ac:dyDescent="0.2">
      <c r="A72" s="308"/>
      <c r="B72" s="309"/>
      <c r="C72" s="310" t="s">
        <v>172</v>
      </c>
      <c r="D72" s="311">
        <f>D70-D71</f>
        <v>1039278.51</v>
      </c>
      <c r="E72" s="312"/>
      <c r="F72" s="510">
        <f>F70-F71</f>
        <v>27.907299999999999</v>
      </c>
      <c r="G72" s="313">
        <f>G70-G71</f>
        <v>311783.53999999998</v>
      </c>
      <c r="H72" s="314">
        <f>H70-H71</f>
        <v>1399033.56</v>
      </c>
      <c r="I72" s="312"/>
      <c r="J72" s="510">
        <f t="shared" ref="J72:W72" si="76">J70-J71</f>
        <v>27.9224</v>
      </c>
      <c r="K72" s="313">
        <f t="shared" si="76"/>
        <v>419710.07</v>
      </c>
      <c r="L72" s="314">
        <f t="shared" si="76"/>
        <v>1432823.33</v>
      </c>
      <c r="M72" s="312">
        <f t="shared" si="76"/>
        <v>589756.65</v>
      </c>
      <c r="N72" s="510">
        <f t="shared" si="76"/>
        <v>28.951699999999999</v>
      </c>
      <c r="O72" s="313">
        <f t="shared" si="76"/>
        <v>429847</v>
      </c>
      <c r="P72" s="314">
        <f t="shared" si="76"/>
        <v>1466563.59</v>
      </c>
      <c r="Q72" s="312">
        <f t="shared" si="76"/>
        <v>24735.03</v>
      </c>
      <c r="R72" s="510">
        <f t="shared" si="76"/>
        <v>29</v>
      </c>
      <c r="S72" s="313">
        <f t="shared" si="76"/>
        <v>432469.08</v>
      </c>
      <c r="T72" s="314">
        <f t="shared" si="76"/>
        <v>1462977.29</v>
      </c>
      <c r="U72" s="312">
        <f t="shared" si="76"/>
        <v>7243.96</v>
      </c>
      <c r="V72" s="510">
        <f t="shared" si="76"/>
        <v>29</v>
      </c>
      <c r="W72" s="313">
        <f t="shared" si="76"/>
        <v>431393.19</v>
      </c>
      <c r="X72" s="314">
        <f>X70-X71</f>
        <v>1552475.12</v>
      </c>
      <c r="Y72" s="312">
        <f>Y70-Y71</f>
        <v>105542.98</v>
      </c>
      <c r="Z72" s="510">
        <f>Z70-Z71</f>
        <v>30.283300000000001</v>
      </c>
      <c r="AA72" s="313">
        <f>AA70-AA71</f>
        <v>438551.7</v>
      </c>
      <c r="AB72" s="488">
        <f t="shared" ref="AB72:AY72" si="77">AB70-AB71</f>
        <v>1532911.73</v>
      </c>
      <c r="AC72" s="489">
        <f t="shared" si="77"/>
        <v>71308.69</v>
      </c>
      <c r="AD72" s="511">
        <f t="shared" si="77"/>
        <v>31.870999999999999</v>
      </c>
      <c r="AE72" s="490">
        <f t="shared" si="77"/>
        <v>420287.43</v>
      </c>
      <c r="AF72" s="488">
        <f t="shared" si="77"/>
        <v>1591742.94</v>
      </c>
      <c r="AG72" s="489">
        <f t="shared" si="77"/>
        <v>108284.85</v>
      </c>
      <c r="AH72" s="511">
        <f t="shared" si="77"/>
        <v>32</v>
      </c>
      <c r="AI72" s="490">
        <f t="shared" si="77"/>
        <v>426258.74</v>
      </c>
      <c r="AJ72" s="488">
        <f t="shared" si="77"/>
        <v>1865482.41</v>
      </c>
      <c r="AK72" s="489">
        <f t="shared" si="77"/>
        <v>28309.1</v>
      </c>
      <c r="AL72" s="511">
        <f t="shared" si="77"/>
        <v>38.833399999999997</v>
      </c>
      <c r="AM72" s="490">
        <f t="shared" si="77"/>
        <v>485945.05</v>
      </c>
      <c r="AN72" s="488">
        <f t="shared" si="77"/>
        <v>1941924.27</v>
      </c>
      <c r="AO72" s="489">
        <f t="shared" si="77"/>
        <v>83954.08</v>
      </c>
      <c r="AP72" s="511">
        <f t="shared" si="77"/>
        <v>37.709699999999998</v>
      </c>
      <c r="AQ72" s="490">
        <f t="shared" si="77"/>
        <v>472183.21</v>
      </c>
      <c r="AR72" s="488">
        <f t="shared" si="77"/>
        <v>1903987.87</v>
      </c>
      <c r="AS72" s="489">
        <f t="shared" si="77"/>
        <v>32028.34</v>
      </c>
      <c r="AT72" s="511">
        <f t="shared" si="77"/>
        <v>37.5</v>
      </c>
      <c r="AU72" s="490">
        <f t="shared" si="77"/>
        <v>452401.93</v>
      </c>
      <c r="AV72" s="488">
        <f t="shared" si="77"/>
        <v>1910438.91</v>
      </c>
      <c r="AW72" s="489">
        <f t="shared" si="77"/>
        <v>7931.77</v>
      </c>
      <c r="AX72" s="511">
        <f t="shared" si="77"/>
        <v>37.5</v>
      </c>
      <c r="AY72" s="490">
        <f t="shared" si="77"/>
        <v>428651.67</v>
      </c>
      <c r="AZ72" s="703"/>
      <c r="BA72" s="698">
        <f t="shared" si="74"/>
        <v>19099639.530000001</v>
      </c>
      <c r="BB72" s="698">
        <f t="shared" si="75"/>
        <v>5149482.6100000003</v>
      </c>
      <c r="BC72" s="704">
        <f>BC70-BC71</f>
        <v>1444800</v>
      </c>
      <c r="BD72" s="704">
        <f>BD70-BD71</f>
        <v>147369.60000000001</v>
      </c>
      <c r="BE72" s="704">
        <f>BE70-BE71</f>
        <v>3355238.91</v>
      </c>
      <c r="BF72" s="704">
        <f>BF70-BF71</f>
        <v>579842.15</v>
      </c>
      <c r="BG72" s="705"/>
      <c r="BR72" s="139"/>
    </row>
    <row r="73" spans="1:73" ht="13.5" thickBot="1" x14ac:dyDescent="0.25">
      <c r="B73" s="175"/>
      <c r="C73" s="315" t="s">
        <v>173</v>
      </c>
      <c r="D73" s="316"/>
      <c r="E73" s="316"/>
      <c r="F73" s="316"/>
      <c r="G73" s="317">
        <f>D70*0.2%</f>
        <v>2560.69</v>
      </c>
      <c r="H73" s="318"/>
      <c r="I73" s="319"/>
      <c r="J73" s="319"/>
      <c r="K73" s="317">
        <f>H70*0.2%</f>
        <v>3945.07</v>
      </c>
      <c r="L73" s="318"/>
      <c r="M73" s="319"/>
      <c r="N73" s="319"/>
      <c r="O73" s="317">
        <f>L70*0.2%</f>
        <v>3788.63</v>
      </c>
      <c r="P73" s="320"/>
      <c r="Q73" s="321"/>
      <c r="R73" s="321"/>
      <c r="S73" s="297">
        <f>P70*0.2%</f>
        <v>3906.11</v>
      </c>
      <c r="T73" s="320"/>
      <c r="U73" s="322"/>
      <c r="V73" s="321"/>
      <c r="W73" s="297">
        <f>T70*0.2%</f>
        <v>3907.75</v>
      </c>
      <c r="X73" s="323"/>
      <c r="Y73" s="322"/>
      <c r="Z73" s="321"/>
      <c r="AA73" s="297">
        <f>X70*0.2%</f>
        <v>4083.02</v>
      </c>
      <c r="AB73" s="491"/>
      <c r="AC73" s="492"/>
      <c r="AD73" s="493"/>
      <c r="AE73" s="494">
        <f>(AB70-998.49)*0.2%</f>
        <v>4040.12</v>
      </c>
      <c r="AF73" s="491"/>
      <c r="AG73" s="492"/>
      <c r="AH73" s="493"/>
      <c r="AI73" s="512">
        <f>(AF70)*0.2%</f>
        <v>4170.13</v>
      </c>
      <c r="AJ73" s="491"/>
      <c r="AK73" s="492"/>
      <c r="AL73" s="493"/>
      <c r="AM73" s="494">
        <f>(AJ70-998.49-2099.82)*0.2%</f>
        <v>4715.18</v>
      </c>
      <c r="AN73" s="491"/>
      <c r="AO73" s="492"/>
      <c r="AP73" s="493"/>
      <c r="AQ73" s="494">
        <f>(AN70-2099.82)*0.2%</f>
        <v>4957.8500000000004</v>
      </c>
      <c r="AR73" s="491"/>
      <c r="AS73" s="492"/>
      <c r="AT73" s="493"/>
      <c r="AU73" s="512">
        <f>(AR70)*0.2%</f>
        <v>4885.12</v>
      </c>
      <c r="AV73" s="706"/>
      <c r="AW73" s="492"/>
      <c r="AX73" s="493"/>
      <c r="AY73" s="512">
        <f>(AV70)*0.2%</f>
        <v>4900.88</v>
      </c>
      <c r="AZ73" s="698"/>
      <c r="BA73" s="698"/>
      <c r="BB73" s="698"/>
      <c r="BC73" s="698"/>
      <c r="BD73" s="707">
        <v>2</v>
      </c>
      <c r="BE73" s="707"/>
      <c r="BF73" s="707"/>
      <c r="BG73" s="670"/>
      <c r="BR73" s="139"/>
    </row>
    <row r="74" spans="1:73" x14ac:dyDescent="0.2">
      <c r="B74" s="175"/>
      <c r="C74" s="324"/>
      <c r="D74" s="325">
        <v>40909</v>
      </c>
      <c r="E74" s="326"/>
      <c r="F74" s="327"/>
      <c r="G74" s="328"/>
      <c r="H74" s="329"/>
      <c r="I74" s="330">
        <v>40940</v>
      </c>
      <c r="J74" s="330"/>
      <c r="K74" s="331"/>
      <c r="L74" s="332"/>
      <c r="M74" s="333">
        <v>40969</v>
      </c>
      <c r="N74" s="333"/>
      <c r="O74" s="334"/>
      <c r="P74" s="164"/>
      <c r="Q74" s="165">
        <v>41000</v>
      </c>
      <c r="R74" s="165"/>
      <c r="S74" s="166"/>
      <c r="T74" s="167"/>
      <c r="U74" s="168">
        <v>41030</v>
      </c>
      <c r="V74" s="169"/>
      <c r="W74" s="170"/>
      <c r="X74" s="171"/>
      <c r="Y74" s="172">
        <v>41061</v>
      </c>
      <c r="Z74" s="173"/>
      <c r="AA74" s="174"/>
      <c r="AB74" s="421"/>
      <c r="AC74" s="422">
        <v>41091</v>
      </c>
      <c r="AD74" s="423"/>
      <c r="AE74" s="424"/>
      <c r="AF74" s="498"/>
      <c r="AG74" s="499">
        <v>41122</v>
      </c>
      <c r="AH74" s="500"/>
      <c r="AI74" s="501"/>
      <c r="AJ74" s="560"/>
      <c r="AK74" s="561">
        <v>41153</v>
      </c>
      <c r="AL74" s="562"/>
      <c r="AM74" s="563"/>
      <c r="AN74" s="552"/>
      <c r="AO74" s="553">
        <v>41183</v>
      </c>
      <c r="AP74" s="554"/>
      <c r="AQ74" s="555"/>
      <c r="AR74" s="498"/>
      <c r="AS74" s="499">
        <v>41214</v>
      </c>
      <c r="AT74" s="500"/>
      <c r="AU74" s="501"/>
      <c r="AV74" s="564"/>
      <c r="AW74" s="565">
        <v>41244</v>
      </c>
      <c r="AX74" s="566"/>
      <c r="AY74" s="567"/>
      <c r="AZ74" s="684"/>
      <c r="BA74" s="685"/>
      <c r="BB74" s="685"/>
      <c r="BC74" s="685"/>
      <c r="BR74" s="139"/>
    </row>
    <row r="75" spans="1:73" x14ac:dyDescent="0.2">
      <c r="B75" s="175"/>
      <c r="C75" s="140" t="s">
        <v>174</v>
      </c>
      <c r="D75" s="335"/>
      <c r="E75" s="336"/>
      <c r="F75" s="336"/>
      <c r="G75" s="337"/>
      <c r="H75" s="338"/>
      <c r="I75" s="339"/>
      <c r="J75" s="339"/>
      <c r="K75" s="340"/>
      <c r="L75" s="335"/>
      <c r="M75" s="336"/>
      <c r="N75" s="336"/>
      <c r="O75" s="337"/>
      <c r="P75" s="339"/>
      <c r="Q75" s="339"/>
      <c r="R75" s="339"/>
      <c r="S75" s="339"/>
      <c r="T75" s="339"/>
      <c r="U75" s="341"/>
      <c r="V75" s="339"/>
      <c r="W75" s="339"/>
      <c r="X75" s="339"/>
      <c r="Y75" s="341"/>
      <c r="Z75" s="339"/>
      <c r="AA75" s="339"/>
      <c r="AB75" s="339"/>
      <c r="AC75" s="341"/>
      <c r="AD75" s="339"/>
      <c r="AE75" s="339"/>
      <c r="AF75" s="339"/>
      <c r="AG75" s="341"/>
      <c r="AH75" s="339"/>
      <c r="AI75" s="339"/>
      <c r="AJ75" s="339"/>
      <c r="AK75" s="341"/>
      <c r="AL75" s="339"/>
      <c r="AM75" s="339"/>
      <c r="AN75" s="339"/>
      <c r="AO75" s="341"/>
      <c r="AP75" s="339"/>
      <c r="AQ75" s="339"/>
      <c r="AR75" s="339"/>
      <c r="AS75" s="341"/>
      <c r="AT75" s="339"/>
      <c r="AU75" s="708"/>
      <c r="AV75" s="339"/>
      <c r="AW75" s="341"/>
      <c r="AX75" s="339"/>
      <c r="AY75" s="339"/>
      <c r="AZ75" s="336"/>
      <c r="BA75" s="685"/>
      <c r="BB75" s="685"/>
      <c r="BC75" s="685"/>
      <c r="BD75" s="175"/>
      <c r="BE75" s="669" t="s">
        <v>305</v>
      </c>
      <c r="BF75" s="175"/>
      <c r="BR75" s="139"/>
    </row>
    <row r="76" spans="1:73" x14ac:dyDescent="0.2">
      <c r="B76" s="175"/>
      <c r="C76" s="342" t="s">
        <v>175</v>
      </c>
      <c r="D76" s="343" t="s">
        <v>176</v>
      </c>
      <c r="E76" s="344"/>
      <c r="F76" s="344"/>
      <c r="G76" s="345">
        <f>D71</f>
        <v>241063.99</v>
      </c>
      <c r="H76" s="346"/>
      <c r="I76" s="347"/>
      <c r="J76" s="348"/>
      <c r="K76" s="349">
        <f>H71+25.86</f>
        <v>573525.86</v>
      </c>
      <c r="L76" s="350"/>
      <c r="M76" s="351"/>
      <c r="N76" s="344"/>
      <c r="O76" s="345">
        <f>L71+50</f>
        <v>461540.93</v>
      </c>
      <c r="P76" s="352"/>
      <c r="Q76" s="347"/>
      <c r="R76" s="348"/>
      <c r="S76" s="345">
        <f>P71+50</f>
        <v>486540.18</v>
      </c>
      <c r="T76" s="352"/>
      <c r="U76" s="353"/>
      <c r="V76" s="348"/>
      <c r="W76" s="349">
        <f>T71+50</f>
        <v>490949.23</v>
      </c>
      <c r="X76" s="352"/>
      <c r="Y76" s="353"/>
      <c r="Z76" s="348"/>
      <c r="AA76" s="349">
        <f>489032.59+50</f>
        <v>489082.59</v>
      </c>
      <c r="AB76" s="495"/>
      <c r="AC76" s="353"/>
      <c r="AD76" s="348"/>
      <c r="AE76" s="349">
        <v>488147.13</v>
      </c>
      <c r="AF76" s="495"/>
      <c r="AG76" s="353"/>
      <c r="AH76" s="348"/>
      <c r="AI76" s="349">
        <v>493323.38</v>
      </c>
      <c r="AJ76" s="495"/>
      <c r="AK76" s="353"/>
      <c r="AL76" s="348"/>
      <c r="AM76" s="349">
        <v>495205.68</v>
      </c>
      <c r="AN76" s="495"/>
      <c r="AO76" s="353"/>
      <c r="AP76" s="348"/>
      <c r="AQ76" s="349">
        <v>539099.98</v>
      </c>
      <c r="AR76" s="495"/>
      <c r="AS76" s="353"/>
      <c r="AT76" s="348"/>
      <c r="AU76" s="349">
        <v>538573.42000000004</v>
      </c>
      <c r="AV76" s="495"/>
      <c r="AW76" s="353"/>
      <c r="AX76" s="348"/>
      <c r="AY76" s="349"/>
      <c r="AZ76" s="709"/>
      <c r="BA76" s="710" t="s">
        <v>306</v>
      </c>
      <c r="BB76" s="711">
        <f>BB70/BA70*100</f>
        <v>25.48</v>
      </c>
      <c r="BC76" s="711"/>
      <c r="BD76" s="141"/>
      <c r="BE76" s="712" t="s">
        <v>179</v>
      </c>
      <c r="BF76" s="713">
        <f>AY79</f>
        <v>36496.959999999999</v>
      </c>
      <c r="BR76" s="139"/>
    </row>
    <row r="77" spans="1:73" x14ac:dyDescent="0.2">
      <c r="B77" s="175"/>
      <c r="C77" s="354"/>
      <c r="D77" s="355" t="s">
        <v>82</v>
      </c>
      <c r="E77" s="356"/>
      <c r="F77" s="357"/>
      <c r="G77" s="358">
        <f>D72+50</f>
        <v>1039328.51</v>
      </c>
      <c r="H77" s="359"/>
      <c r="I77" s="360"/>
      <c r="J77" s="357"/>
      <c r="K77" s="358">
        <f>H72+31.03</f>
        <v>1399064.59</v>
      </c>
      <c r="L77" s="359"/>
      <c r="M77" s="360"/>
      <c r="N77" s="357"/>
      <c r="O77" s="358">
        <f>L72</f>
        <v>1432823.33</v>
      </c>
      <c r="P77" s="361"/>
      <c r="Q77" s="360"/>
      <c r="R77" s="357"/>
      <c r="S77" s="358">
        <f>P72</f>
        <v>1466563.59</v>
      </c>
      <c r="T77" s="361"/>
      <c r="U77" s="362"/>
      <c r="V77" s="357"/>
      <c r="W77" s="358">
        <f>T72</f>
        <v>1462977.29</v>
      </c>
      <c r="X77" s="361"/>
      <c r="Y77" s="362"/>
      <c r="Z77" s="357"/>
      <c r="AA77" s="358">
        <v>1552475.12</v>
      </c>
      <c r="AB77" s="496">
        <f>AB72+1331.32</f>
        <v>1534243.05</v>
      </c>
      <c r="AC77" s="362"/>
      <c r="AD77" s="357"/>
      <c r="AE77" s="358">
        <v>1534243.05</v>
      </c>
      <c r="AF77" s="513"/>
      <c r="AG77" s="362"/>
      <c r="AH77" s="357"/>
      <c r="AI77" s="358">
        <v>1591742.94</v>
      </c>
      <c r="AJ77" s="513">
        <f>AJ72+1331.32+699.94</f>
        <v>1867513.67</v>
      </c>
      <c r="AK77" s="362"/>
      <c r="AL77" s="357"/>
      <c r="AM77" s="358">
        <v>1867513.67</v>
      </c>
      <c r="AN77" s="513">
        <f>AN72+4199.64</f>
        <v>1946123.91</v>
      </c>
      <c r="AO77" s="362"/>
      <c r="AP77" s="357"/>
      <c r="AQ77" s="358">
        <v>1946123.91</v>
      </c>
      <c r="AR77" s="513"/>
      <c r="AS77" s="362"/>
      <c r="AT77" s="357"/>
      <c r="AU77" s="358">
        <v>1903987.87</v>
      </c>
      <c r="AV77" s="513"/>
      <c r="AW77" s="362"/>
      <c r="AX77" s="357"/>
      <c r="AY77" s="358"/>
      <c r="AZ77" s="714"/>
      <c r="BA77" s="715" t="s">
        <v>307</v>
      </c>
      <c r="BB77" s="711">
        <f t="shared" ref="BB77:BB78" si="78">BB71/BA71*100</f>
        <v>20.61</v>
      </c>
      <c r="BC77" s="711"/>
      <c r="BD77" s="141"/>
      <c r="BE77" s="712" t="s">
        <v>180</v>
      </c>
      <c r="BF77" s="713">
        <f>AY80</f>
        <v>64184.3</v>
      </c>
      <c r="BR77" s="139"/>
    </row>
    <row r="78" spans="1:73" x14ac:dyDescent="0.2">
      <c r="B78" s="175"/>
      <c r="C78" s="363"/>
      <c r="D78" s="364" t="s">
        <v>177</v>
      </c>
      <c r="E78" s="365">
        <f>D79+D80+D81+D82</f>
        <v>384102.76</v>
      </c>
      <c r="F78" s="366"/>
      <c r="G78" s="367">
        <f>G79+G80+G81+G82</f>
        <v>370302.76</v>
      </c>
      <c r="H78" s="368"/>
      <c r="I78" s="321"/>
      <c r="J78" s="366"/>
      <c r="K78" s="367">
        <f>K79+K80+K81+K82</f>
        <v>591760.06999999995</v>
      </c>
      <c r="L78" s="368"/>
      <c r="M78" s="321"/>
      <c r="N78" s="366"/>
      <c r="O78" s="367">
        <f>O79+O80+O81+O82</f>
        <v>568294.29</v>
      </c>
      <c r="P78" s="320"/>
      <c r="Q78" s="321"/>
      <c r="R78" s="366"/>
      <c r="S78" s="367">
        <f>S79+S80+S81+S82</f>
        <v>585916.12</v>
      </c>
      <c r="T78" s="320"/>
      <c r="U78" s="322"/>
      <c r="V78" s="366"/>
      <c r="W78" s="367">
        <f>W79+W80+W81+W82</f>
        <v>580112.96</v>
      </c>
      <c r="X78" s="320"/>
      <c r="Y78" s="322"/>
      <c r="Z78" s="366"/>
      <c r="AA78" s="367">
        <f>AA79+AA80+AA81+AA82</f>
        <v>546980.49</v>
      </c>
      <c r="AB78" s="320"/>
      <c r="AC78" s="322"/>
      <c r="AD78" s="366"/>
      <c r="AE78" s="367">
        <f>AE79+AE80+AE81+AE82</f>
        <v>494391.9</v>
      </c>
      <c r="AF78" s="320"/>
      <c r="AG78" s="322"/>
      <c r="AH78" s="366"/>
      <c r="AI78" s="367">
        <f>AI79+AI80+AI81+AI82</f>
        <v>490055.73</v>
      </c>
      <c r="AJ78" s="320"/>
      <c r="AK78" s="322"/>
      <c r="AL78" s="366"/>
      <c r="AM78" s="367">
        <f>AM79+AM80+AM81+AM82</f>
        <v>550465.64</v>
      </c>
      <c r="AN78" s="320"/>
      <c r="AO78" s="322"/>
      <c r="AP78" s="366"/>
      <c r="AQ78" s="367">
        <f>AQ79+AQ80+AQ81+AQ82</f>
        <v>541913.19999999995</v>
      </c>
      <c r="AR78" s="320"/>
      <c r="AS78" s="322"/>
      <c r="AT78" s="366"/>
      <c r="AU78" s="367">
        <f>AU79+AU80+AU81+AU82</f>
        <v>521973.97</v>
      </c>
      <c r="AV78" s="320"/>
      <c r="AW78" s="322"/>
      <c r="AX78" s="366"/>
      <c r="AY78" s="367">
        <f>AY79+AY80+AY81+AY82</f>
        <v>496747.06</v>
      </c>
      <c r="AZ78" s="369"/>
      <c r="BA78" s="715" t="s">
        <v>308</v>
      </c>
      <c r="BB78" s="711">
        <f t="shared" si="78"/>
        <v>26.96</v>
      </c>
      <c r="BC78" s="711"/>
      <c r="BD78" s="369"/>
      <c r="BE78" s="712" t="s">
        <v>181</v>
      </c>
      <c r="BF78" s="713">
        <v>579334.85</v>
      </c>
      <c r="BG78" s="487"/>
      <c r="BR78" s="139"/>
    </row>
    <row r="79" spans="1:73" ht="24" x14ac:dyDescent="0.2">
      <c r="B79" s="175"/>
      <c r="C79" s="370" t="s">
        <v>178</v>
      </c>
      <c r="D79" s="371">
        <v>37129.94</v>
      </c>
      <c r="E79" s="372">
        <f>G79-D79</f>
        <v>-1334</v>
      </c>
      <c r="F79" s="373" t="s">
        <v>179</v>
      </c>
      <c r="G79" s="374">
        <v>35795.94</v>
      </c>
      <c r="H79" s="335"/>
      <c r="I79" s="336"/>
      <c r="J79" s="373"/>
      <c r="K79" s="374">
        <v>57203.47</v>
      </c>
      <c r="L79" s="335"/>
      <c r="M79" s="336"/>
      <c r="N79" s="373"/>
      <c r="O79" s="374">
        <v>54935.12</v>
      </c>
      <c r="P79" s="336"/>
      <c r="Q79" s="336"/>
      <c r="R79" s="373"/>
      <c r="S79" s="374">
        <v>56638.55</v>
      </c>
      <c r="T79" s="336"/>
      <c r="U79" s="375"/>
      <c r="V79" s="373" t="s">
        <v>179</v>
      </c>
      <c r="W79" s="376">
        <v>55785.18</v>
      </c>
      <c r="X79" s="336"/>
      <c r="Y79" s="375"/>
      <c r="Z79" s="373" t="s">
        <v>179</v>
      </c>
      <c r="AA79" s="376">
        <v>49710.33</v>
      </c>
      <c r="AB79" s="336"/>
      <c r="AC79" s="375"/>
      <c r="AD79" s="373" t="s">
        <v>179</v>
      </c>
      <c r="AE79" s="376">
        <v>42395.93</v>
      </c>
      <c r="AF79" s="336"/>
      <c r="AG79" s="375"/>
      <c r="AH79" s="373" t="s">
        <v>179</v>
      </c>
      <c r="AI79" s="376">
        <v>40824.629999999997</v>
      </c>
      <c r="AJ79" s="336"/>
      <c r="AK79" s="375"/>
      <c r="AL79" s="373" t="s">
        <v>179</v>
      </c>
      <c r="AM79" s="376">
        <v>45632.47</v>
      </c>
      <c r="AN79" s="336"/>
      <c r="AO79" s="375"/>
      <c r="AP79" s="373" t="s">
        <v>179</v>
      </c>
      <c r="AQ79" s="376">
        <v>42633</v>
      </c>
      <c r="AR79" s="336"/>
      <c r="AS79" s="375"/>
      <c r="AT79" s="373" t="s">
        <v>179</v>
      </c>
      <c r="AU79" s="376">
        <v>40269.089999999997</v>
      </c>
      <c r="AV79" s="336"/>
      <c r="AW79" s="375"/>
      <c r="AX79" s="373" t="s">
        <v>179</v>
      </c>
      <c r="AY79" s="376">
        <v>36496.959999999999</v>
      </c>
      <c r="AZ79" s="141"/>
      <c r="BA79" s="711"/>
      <c r="BB79" s="711"/>
      <c r="BC79" s="711"/>
      <c r="BD79" s="141"/>
      <c r="BE79" s="712" t="s">
        <v>182</v>
      </c>
      <c r="BF79" s="713">
        <f>AY82</f>
        <v>63210.95</v>
      </c>
      <c r="BR79" s="139"/>
    </row>
    <row r="80" spans="1:73" x14ac:dyDescent="0.2">
      <c r="B80" s="175"/>
      <c r="C80" s="377">
        <f>G80-D80</f>
        <v>-2346</v>
      </c>
      <c r="D80" s="371">
        <v>65297.47</v>
      </c>
      <c r="E80" s="336"/>
      <c r="F80" s="373" t="s">
        <v>180</v>
      </c>
      <c r="G80" s="374">
        <v>62951.47</v>
      </c>
      <c r="H80" s="335"/>
      <c r="I80" s="336"/>
      <c r="J80" s="373"/>
      <c r="K80" s="374">
        <v>100599.21</v>
      </c>
      <c r="L80" s="335"/>
      <c r="M80" s="336"/>
      <c r="N80" s="373"/>
      <c r="O80" s="374">
        <v>96610.02</v>
      </c>
      <c r="P80" s="336"/>
      <c r="Q80" s="336"/>
      <c r="R80" s="373"/>
      <c r="S80" s="374">
        <v>99605.73</v>
      </c>
      <c r="T80" s="336"/>
      <c r="U80" s="375"/>
      <c r="V80" s="373" t="s">
        <v>180</v>
      </c>
      <c r="W80" s="374">
        <v>98104.960000000006</v>
      </c>
      <c r="X80" s="336"/>
      <c r="Y80" s="375"/>
      <c r="Z80" s="373" t="s">
        <v>180</v>
      </c>
      <c r="AA80" s="374">
        <v>87421.59</v>
      </c>
      <c r="AB80" s="336"/>
      <c r="AC80" s="375"/>
      <c r="AD80" s="373" t="s">
        <v>180</v>
      </c>
      <c r="AE80" s="374">
        <v>74558.41</v>
      </c>
      <c r="AF80" s="336"/>
      <c r="AG80" s="375"/>
      <c r="AH80" s="373" t="s">
        <v>180</v>
      </c>
      <c r="AI80" s="374">
        <v>71795.009999999995</v>
      </c>
      <c r="AJ80" s="336"/>
      <c r="AK80" s="375"/>
      <c r="AL80" s="373" t="s">
        <v>180</v>
      </c>
      <c r="AM80" s="374">
        <v>80250.19</v>
      </c>
      <c r="AN80" s="336"/>
      <c r="AO80" s="375"/>
      <c r="AP80" s="373" t="s">
        <v>180</v>
      </c>
      <c r="AQ80" s="374">
        <v>74975.3</v>
      </c>
      <c r="AR80" s="336"/>
      <c r="AS80" s="375"/>
      <c r="AT80" s="373" t="s">
        <v>180</v>
      </c>
      <c r="AU80" s="374">
        <v>70818.05</v>
      </c>
      <c r="AV80" s="336"/>
      <c r="AW80" s="375"/>
      <c r="AX80" s="373" t="s">
        <v>180</v>
      </c>
      <c r="AY80" s="374">
        <v>64184.3</v>
      </c>
      <c r="AZ80" s="141"/>
      <c r="BA80" s="711"/>
      <c r="BB80" s="711"/>
      <c r="BC80" s="711"/>
      <c r="BD80" s="141"/>
      <c r="BE80" s="716" t="s">
        <v>309</v>
      </c>
      <c r="BF80" s="713">
        <v>9830.48</v>
      </c>
      <c r="BR80" s="139"/>
    </row>
    <row r="81" spans="2:70" x14ac:dyDescent="0.2">
      <c r="B81" s="175"/>
      <c r="C81" s="377">
        <f>G81-D81</f>
        <v>-7360</v>
      </c>
      <c r="D81" s="371">
        <v>215219.79</v>
      </c>
      <c r="E81" s="336"/>
      <c r="F81" s="373" t="s">
        <v>181</v>
      </c>
      <c r="G81" s="374">
        <v>207859.79</v>
      </c>
      <c r="H81" s="335"/>
      <c r="I81" s="336"/>
      <c r="J81" s="373"/>
      <c r="K81" s="374">
        <v>331925.37</v>
      </c>
      <c r="L81" s="335"/>
      <c r="M81" s="336"/>
      <c r="N81" s="373"/>
      <c r="O81" s="374">
        <v>317394.53999999998</v>
      </c>
      <c r="P81" s="336"/>
      <c r="Q81" s="336"/>
      <c r="R81" s="373"/>
      <c r="S81" s="374">
        <v>326588.61</v>
      </c>
      <c r="T81" s="336"/>
      <c r="U81" s="375"/>
      <c r="V81" s="373" t="s">
        <v>181</v>
      </c>
      <c r="W81" s="374">
        <v>323090.23</v>
      </c>
      <c r="X81" s="336"/>
      <c r="Y81" s="375"/>
      <c r="Z81" s="373" t="s">
        <v>181</v>
      </c>
      <c r="AA81" s="374">
        <v>314499.67</v>
      </c>
      <c r="AB81" s="336"/>
      <c r="AC81" s="375"/>
      <c r="AD81" s="373" t="s">
        <v>181</v>
      </c>
      <c r="AE81" s="374">
        <v>298421.78999999998</v>
      </c>
      <c r="AF81" s="336"/>
      <c r="AG81" s="375"/>
      <c r="AH81" s="373" t="s">
        <v>181</v>
      </c>
      <c r="AI81" s="374">
        <v>301671.37</v>
      </c>
      <c r="AJ81" s="336"/>
      <c r="AK81" s="375"/>
      <c r="AL81" s="373" t="s">
        <v>181</v>
      </c>
      <c r="AM81" s="374">
        <v>342470.98</v>
      </c>
      <c r="AN81" s="336"/>
      <c r="AO81" s="375"/>
      <c r="AP81" s="373" t="s">
        <v>181</v>
      </c>
      <c r="AQ81" s="374">
        <v>348398.67</v>
      </c>
      <c r="AR81" s="336"/>
      <c r="AS81" s="375"/>
      <c r="AT81" s="373" t="s">
        <v>181</v>
      </c>
      <c r="AU81" s="374">
        <v>339871.48</v>
      </c>
      <c r="AV81" s="336"/>
      <c r="AW81" s="375"/>
      <c r="AX81" s="373" t="s">
        <v>181</v>
      </c>
      <c r="AY81" s="374">
        <v>332854.84999999998</v>
      </c>
      <c r="AZ81" s="141"/>
      <c r="BA81" s="711">
        <f>AR72+AV72</f>
        <v>3814426.78</v>
      </c>
      <c r="BB81" s="711">
        <f>AU72+AY72</f>
        <v>881053.6</v>
      </c>
      <c r="BC81" s="711"/>
      <c r="BD81" s="141"/>
      <c r="BE81" s="141"/>
      <c r="BF81" s="141">
        <f>SUM(BF76:BF80)</f>
        <v>753057.54</v>
      </c>
      <c r="BG81" s="487"/>
      <c r="BR81" s="139"/>
    </row>
    <row r="82" spans="2:70" x14ac:dyDescent="0.2">
      <c r="B82" s="175"/>
      <c r="C82" s="377">
        <f>G82-D82</f>
        <v>-2760</v>
      </c>
      <c r="D82" s="378">
        <v>66455.56</v>
      </c>
      <c r="E82" s="339"/>
      <c r="F82" s="379" t="s">
        <v>182</v>
      </c>
      <c r="G82" s="380">
        <v>63695.56</v>
      </c>
      <c r="H82" s="335"/>
      <c r="I82" s="336"/>
      <c r="J82" s="373"/>
      <c r="K82" s="374">
        <v>102032.02</v>
      </c>
      <c r="L82" s="335"/>
      <c r="M82" s="336"/>
      <c r="N82" s="373"/>
      <c r="O82" s="374">
        <v>99354.61</v>
      </c>
      <c r="P82" s="336"/>
      <c r="Q82" s="336"/>
      <c r="R82" s="373"/>
      <c r="S82" s="374">
        <v>103083.23</v>
      </c>
      <c r="T82" s="336"/>
      <c r="U82" s="375"/>
      <c r="V82" s="379" t="s">
        <v>182</v>
      </c>
      <c r="W82" s="374">
        <v>103132.59</v>
      </c>
      <c r="X82" s="336"/>
      <c r="Y82" s="375"/>
      <c r="Z82" s="379" t="s">
        <v>182</v>
      </c>
      <c r="AA82" s="374">
        <v>95348.9</v>
      </c>
      <c r="AB82" s="336"/>
      <c r="AC82" s="375"/>
      <c r="AD82" s="379" t="s">
        <v>182</v>
      </c>
      <c r="AE82" s="374">
        <v>79015.77</v>
      </c>
      <c r="AF82" s="336"/>
      <c r="AG82" s="375"/>
      <c r="AH82" s="379" t="s">
        <v>182</v>
      </c>
      <c r="AI82" s="374">
        <v>75764.72</v>
      </c>
      <c r="AJ82" s="336"/>
      <c r="AK82" s="375"/>
      <c r="AL82" s="379" t="s">
        <v>182</v>
      </c>
      <c r="AM82" s="374">
        <v>82112</v>
      </c>
      <c r="AN82" s="336"/>
      <c r="AO82" s="375"/>
      <c r="AP82" s="379" t="s">
        <v>182</v>
      </c>
      <c r="AQ82" s="374">
        <v>75906.23</v>
      </c>
      <c r="AR82" s="336"/>
      <c r="AS82" s="375"/>
      <c r="AT82" s="379" t="s">
        <v>182</v>
      </c>
      <c r="AU82" s="374">
        <v>71015.350000000006</v>
      </c>
      <c r="AV82" s="336"/>
      <c r="AW82" s="375"/>
      <c r="AX82" s="379" t="s">
        <v>182</v>
      </c>
      <c r="AY82" s="374">
        <v>63210.95</v>
      </c>
      <c r="AZ82" s="141"/>
      <c r="BA82" s="711"/>
      <c r="BB82" s="711">
        <f>BB81/BA81*100</f>
        <v>23.1</v>
      </c>
      <c r="BC82" s="141">
        <f>BB82+0.2</f>
        <v>23.3</v>
      </c>
      <c r="BE82" s="141"/>
      <c r="BF82" s="141"/>
      <c r="BR82" s="139"/>
    </row>
    <row r="83" spans="2:70" x14ac:dyDescent="0.2">
      <c r="B83" s="175"/>
      <c r="C83" s="381">
        <f>G83-E83</f>
        <v>-92</v>
      </c>
      <c r="D83" s="382" t="s">
        <v>183</v>
      </c>
      <c r="E83" s="383">
        <v>2560.69</v>
      </c>
      <c r="F83" s="384"/>
      <c r="G83" s="385">
        <v>2468.69</v>
      </c>
      <c r="H83" s="386"/>
      <c r="I83" s="384"/>
      <c r="J83" s="384"/>
      <c r="K83" s="385">
        <v>3945.07</v>
      </c>
      <c r="L83" s="386"/>
      <c r="M83" s="384"/>
      <c r="N83" s="384"/>
      <c r="O83" s="385">
        <v>3788.63</v>
      </c>
      <c r="P83" s="384"/>
      <c r="Q83" s="384"/>
      <c r="R83" s="384"/>
      <c r="S83" s="385">
        <f>P70*0.2%</f>
        <v>3906.11</v>
      </c>
      <c r="T83" s="384"/>
      <c r="U83" s="387"/>
      <c r="V83" s="384"/>
      <c r="W83" s="385">
        <v>3907.75</v>
      </c>
      <c r="X83" s="384"/>
      <c r="Y83" s="387"/>
      <c r="Z83" s="384"/>
      <c r="AA83" s="385">
        <v>4083.02</v>
      </c>
      <c r="AB83" s="384"/>
      <c r="AC83" s="387"/>
      <c r="AD83" s="384"/>
      <c r="AE83" s="385">
        <v>4040.12</v>
      </c>
      <c r="AF83" s="384"/>
      <c r="AG83" s="387"/>
      <c r="AH83" s="384"/>
      <c r="AI83" s="385">
        <v>4170.13</v>
      </c>
      <c r="AJ83" s="384"/>
      <c r="AK83" s="387"/>
      <c r="AL83" s="384"/>
      <c r="AM83" s="385">
        <v>4715.18</v>
      </c>
      <c r="AN83" s="384"/>
      <c r="AO83" s="387"/>
      <c r="AP83" s="384"/>
      <c r="AQ83" s="385">
        <v>4957.8500000000004</v>
      </c>
      <c r="AR83" s="384"/>
      <c r="AS83" s="387"/>
      <c r="AT83" s="384"/>
      <c r="AU83" s="385"/>
      <c r="AV83" s="384"/>
      <c r="AW83" s="387"/>
      <c r="AX83" s="384"/>
      <c r="AY83" s="385"/>
      <c r="AZ83" s="141"/>
      <c r="BA83" s="711"/>
      <c r="BB83" s="711"/>
      <c r="BC83" s="711"/>
      <c r="BD83" s="141"/>
      <c r="BE83" s="141"/>
      <c r="BF83" s="141"/>
      <c r="BR83" s="139"/>
    </row>
    <row r="84" spans="2:70" x14ac:dyDescent="0.2">
      <c r="B84" s="175"/>
      <c r="C84" s="175"/>
      <c r="D84" s="388"/>
      <c r="E84" s="175"/>
      <c r="F84" s="389"/>
      <c r="G84" s="337"/>
      <c r="H84" s="335"/>
      <c r="I84" s="336"/>
      <c r="J84" s="336"/>
      <c r="K84" s="337"/>
      <c r="L84" s="335"/>
      <c r="M84" s="336"/>
      <c r="N84" s="336"/>
      <c r="O84" s="337"/>
      <c r="S84" s="337"/>
      <c r="T84" s="336"/>
      <c r="W84" s="337"/>
      <c r="X84" s="336"/>
      <c r="AA84" s="337"/>
      <c r="AB84" s="336"/>
      <c r="AE84" s="337"/>
      <c r="AF84" s="336"/>
      <c r="AI84" s="337"/>
      <c r="AJ84" s="336"/>
      <c r="AM84" s="337"/>
      <c r="AN84" s="336"/>
      <c r="AQ84" s="337"/>
      <c r="AR84" s="336"/>
      <c r="AU84" s="337"/>
      <c r="AV84" s="336"/>
      <c r="AY84" s="337"/>
      <c r="AZ84" s="336"/>
      <c r="BA84" s="685"/>
      <c r="BB84" s="685"/>
      <c r="BC84" s="685"/>
      <c r="BD84" s="175"/>
      <c r="BE84" s="175"/>
      <c r="BF84" s="175"/>
      <c r="BR84" s="139"/>
    </row>
    <row r="85" spans="2:70" x14ac:dyDescent="0.2">
      <c r="B85" s="175"/>
      <c r="C85" s="175"/>
      <c r="D85" s="388"/>
      <c r="E85" s="175"/>
      <c r="F85" s="389"/>
      <c r="G85" s="390" t="s">
        <v>184</v>
      </c>
      <c r="H85" s="335"/>
      <c r="I85" s="336"/>
      <c r="J85" s="336"/>
      <c r="K85" s="390" t="s">
        <v>185</v>
      </c>
      <c r="L85" s="335"/>
      <c r="M85" s="336"/>
      <c r="N85" s="336"/>
      <c r="O85" s="390" t="s">
        <v>186</v>
      </c>
      <c r="S85" s="337"/>
      <c r="T85" s="336"/>
      <c r="W85" s="337"/>
      <c r="X85" s="336"/>
      <c r="AA85" s="337"/>
      <c r="AB85" s="336"/>
      <c r="AE85" s="514">
        <f>AE78-AE70</f>
        <v>-0.02</v>
      </c>
      <c r="AF85" s="336"/>
      <c r="AI85" s="337"/>
      <c r="AJ85" s="336"/>
      <c r="AM85" s="337"/>
      <c r="AN85" s="336"/>
      <c r="AQ85" s="337"/>
      <c r="AR85" s="336"/>
      <c r="AU85" s="337"/>
      <c r="AV85" s="336"/>
      <c r="AY85" s="337"/>
      <c r="AZ85" s="336"/>
      <c r="BA85" s="685"/>
      <c r="BB85" s="685"/>
      <c r="BC85" s="685"/>
      <c r="BD85" s="175"/>
      <c r="BE85" s="175"/>
      <c r="BF85" s="175"/>
      <c r="BR85" s="139"/>
    </row>
    <row r="86" spans="2:70" x14ac:dyDescent="0.2">
      <c r="D86" s="335"/>
      <c r="E86" s="336"/>
      <c r="F86" s="336"/>
      <c r="G86" s="390" t="s">
        <v>187</v>
      </c>
      <c r="H86" s="335"/>
      <c r="I86" s="336"/>
      <c r="J86" s="336"/>
      <c r="K86" s="390" t="s">
        <v>188</v>
      </c>
      <c r="L86" s="335"/>
      <c r="M86" s="336"/>
      <c r="N86" s="336"/>
      <c r="O86" s="390" t="s">
        <v>189</v>
      </c>
      <c r="S86" s="337"/>
      <c r="T86" s="336"/>
      <c r="W86" s="337"/>
      <c r="X86" s="336"/>
      <c r="AA86" s="337"/>
      <c r="AB86" s="336"/>
      <c r="AE86" s="337"/>
      <c r="AF86" s="336"/>
      <c r="AI86" s="337"/>
      <c r="AJ86" s="1075" t="s">
        <v>529</v>
      </c>
      <c r="AM86" s="514">
        <f>AJ72+AF72+AB72+X72+T72+P72+L72</f>
        <v>10904976.41</v>
      </c>
      <c r="AN86" s="336"/>
      <c r="AQ86" s="337"/>
      <c r="AR86" s="336"/>
      <c r="AU86" s="337"/>
      <c r="AV86" s="336"/>
      <c r="AY86" s="336"/>
      <c r="AZ86" s="336"/>
      <c r="BA86" s="717" t="s">
        <v>310</v>
      </c>
      <c r="BB86" s="717"/>
      <c r="BC86" s="717"/>
      <c r="BD86" s="718"/>
      <c r="BE86" s="718"/>
      <c r="BF86" s="718"/>
      <c r="BG86" s="321"/>
      <c r="BH86" s="321"/>
      <c r="BR86" s="139"/>
    </row>
    <row r="87" spans="2:70" ht="13.5" thickBot="1" x14ac:dyDescent="0.25">
      <c r="D87" s="335"/>
      <c r="E87" s="336"/>
      <c r="F87" s="336"/>
      <c r="G87" s="337"/>
      <c r="H87" s="335"/>
      <c r="I87" s="336"/>
      <c r="J87" s="336"/>
      <c r="K87" s="337"/>
      <c r="L87" s="335"/>
      <c r="M87" s="336"/>
      <c r="N87" s="336"/>
      <c r="O87" s="337"/>
      <c r="S87" s="337"/>
      <c r="T87" s="336"/>
      <c r="W87" s="337"/>
      <c r="X87" s="336"/>
      <c r="AA87" s="337"/>
      <c r="AB87" s="336"/>
      <c r="AE87" s="337"/>
      <c r="AF87" s="336"/>
      <c r="AI87" s="337"/>
      <c r="AJ87" s="336"/>
      <c r="AM87" s="337"/>
      <c r="AN87" s="336"/>
      <c r="AQ87" s="337"/>
      <c r="AR87" s="336"/>
      <c r="AU87" s="337"/>
      <c r="AV87" s="336"/>
      <c r="AY87" s="336"/>
      <c r="AZ87" s="336"/>
      <c r="BA87" s="717" t="s">
        <v>311</v>
      </c>
      <c r="BB87" s="719">
        <f>BA72</f>
        <v>19099639.530000001</v>
      </c>
      <c r="BC87" s="719">
        <f>BB87+BC72</f>
        <v>20544439.530000001</v>
      </c>
      <c r="BD87" s="720"/>
      <c r="BE87" s="720"/>
      <c r="BF87" s="720"/>
      <c r="BG87" s="721">
        <f>BG88*BG90</f>
        <v>21172160</v>
      </c>
      <c r="BH87" s="721">
        <f>BG87-BB87</f>
        <v>2072520.47</v>
      </c>
      <c r="BR87" s="139"/>
    </row>
    <row r="88" spans="2:70" ht="13.5" thickBot="1" x14ac:dyDescent="0.25">
      <c r="D88" s="335"/>
      <c r="E88" s="336"/>
      <c r="F88" s="336"/>
      <c r="G88" s="390"/>
      <c r="H88" s="335"/>
      <c r="I88" s="336"/>
      <c r="J88" s="336"/>
      <c r="K88" s="390"/>
      <c r="L88" s="335"/>
      <c r="M88" s="336"/>
      <c r="N88" s="336"/>
      <c r="O88" s="391">
        <f>F72+J72+N72</f>
        <v>84.781400000000005</v>
      </c>
      <c r="S88" s="337"/>
      <c r="T88" s="336"/>
      <c r="W88" s="337"/>
      <c r="X88" s="336"/>
      <c r="AA88" s="392">
        <f>R72+V72+Z72</f>
        <v>88.283299999999997</v>
      </c>
      <c r="AB88" s="336"/>
      <c r="AE88" s="392"/>
      <c r="AF88" s="336"/>
      <c r="AI88" s="392"/>
      <c r="AJ88" s="336"/>
      <c r="AM88" s="392"/>
      <c r="AN88" s="336"/>
      <c r="AQ88" s="392"/>
      <c r="AR88" s="336"/>
      <c r="AU88" s="392"/>
      <c r="AV88" s="336"/>
      <c r="AY88" s="722"/>
      <c r="AZ88" s="722"/>
      <c r="BA88" s="723" t="s">
        <v>312</v>
      </c>
      <c r="BB88" s="724">
        <f>F72+J72+N72+R72+V72+Z72+AD72+AH72+AL72+AP72+AT72+AX72</f>
        <v>388.48</v>
      </c>
      <c r="BC88" s="724">
        <f>BB88</f>
        <v>388.48</v>
      </c>
      <c r="BD88" s="720"/>
      <c r="BE88" s="720"/>
      <c r="BF88" s="720"/>
      <c r="BG88" s="721">
        <v>388.48</v>
      </c>
      <c r="BH88" s="721"/>
      <c r="BR88" s="139"/>
    </row>
    <row r="89" spans="2:70" ht="24" x14ac:dyDescent="0.2">
      <c r="C89" s="393" t="s">
        <v>190</v>
      </c>
      <c r="D89" s="335"/>
      <c r="E89" s="336"/>
      <c r="F89" s="336"/>
      <c r="G89" s="390"/>
      <c r="H89" s="335"/>
      <c r="I89" s="336"/>
      <c r="J89" s="336"/>
      <c r="K89" s="390"/>
      <c r="L89" s="335"/>
      <c r="M89" s="336"/>
      <c r="N89" s="336"/>
      <c r="O89" s="337"/>
      <c r="S89" s="337"/>
      <c r="T89" s="336"/>
      <c r="W89" s="337"/>
      <c r="X89" s="336"/>
      <c r="AA89" s="337"/>
      <c r="AB89" s="336"/>
      <c r="AE89" s="337"/>
      <c r="AF89" s="336"/>
      <c r="AI89" s="337"/>
      <c r="AJ89" s="336"/>
      <c r="AM89" s="337"/>
      <c r="AN89" s="336"/>
      <c r="AQ89" s="337"/>
      <c r="AR89" s="336"/>
      <c r="AU89" s="337"/>
      <c r="AV89" s="336"/>
      <c r="AY89" s="336"/>
      <c r="AZ89" s="336"/>
      <c r="BA89" s="717" t="s">
        <v>313</v>
      </c>
      <c r="BB89" s="719"/>
      <c r="BC89" s="719"/>
      <c r="BD89" s="720"/>
      <c r="BE89" s="720"/>
      <c r="BF89" s="720"/>
      <c r="BG89" s="721"/>
      <c r="BH89" s="721"/>
      <c r="BR89" s="139"/>
    </row>
    <row r="90" spans="2:70" ht="15.75" x14ac:dyDescent="0.25">
      <c r="C90" s="394" t="s">
        <v>191</v>
      </c>
      <c r="D90" s="395"/>
      <c r="E90" s="302"/>
      <c r="F90" s="302"/>
      <c r="G90" s="396" t="s">
        <v>192</v>
      </c>
      <c r="H90" s="395"/>
      <c r="I90" s="302"/>
      <c r="J90" s="302"/>
      <c r="K90" s="396" t="s">
        <v>193</v>
      </c>
      <c r="L90" s="395"/>
      <c r="M90" s="302"/>
      <c r="N90" s="302"/>
      <c r="O90" s="396" t="s">
        <v>194</v>
      </c>
      <c r="P90" s="302"/>
      <c r="Q90" s="302"/>
      <c r="R90" s="302"/>
      <c r="S90" s="397"/>
      <c r="T90" s="302"/>
      <c r="U90" s="398"/>
      <c r="V90" s="302"/>
      <c r="W90" s="397"/>
      <c r="X90" s="302"/>
      <c r="Y90" s="398"/>
      <c r="Z90" s="302"/>
      <c r="AA90" s="397"/>
      <c r="AB90" s="302"/>
      <c r="AC90" s="398"/>
      <c r="AD90" s="302"/>
      <c r="AE90" s="397"/>
      <c r="AF90" s="302"/>
      <c r="AG90" s="398"/>
      <c r="AH90" s="302"/>
      <c r="AI90" s="397"/>
      <c r="AJ90" s="302"/>
      <c r="AK90" s="398"/>
      <c r="AL90" s="302"/>
      <c r="AM90" s="397"/>
      <c r="AN90" s="302"/>
      <c r="AO90" s="398"/>
      <c r="AP90" s="302"/>
      <c r="AQ90" s="725">
        <f>AN71*0.2%</f>
        <v>1078.2</v>
      </c>
      <c r="AR90" s="302"/>
      <c r="AS90" s="398"/>
      <c r="AT90" s="302"/>
      <c r="AU90" s="725">
        <f>AR71*0.2%</f>
        <v>1077.1500000000001</v>
      </c>
      <c r="AV90" s="302"/>
      <c r="AW90" s="398"/>
      <c r="AX90" s="302"/>
      <c r="AY90" s="725">
        <f>AV71*0.2%</f>
        <v>1080</v>
      </c>
      <c r="AZ90" s="726"/>
      <c r="BA90" s="727"/>
      <c r="BB90" s="728">
        <f>BB87/BB88</f>
        <v>49165.05</v>
      </c>
      <c r="BC90" s="728">
        <f>BC87/BC88</f>
        <v>52884.160000000003</v>
      </c>
      <c r="BD90" s="729">
        <f>BG90-BC90</f>
        <v>1615.84</v>
      </c>
      <c r="BE90" s="729"/>
      <c r="BF90" s="729"/>
      <c r="BG90" s="721">
        <v>54500</v>
      </c>
      <c r="BH90" s="721"/>
      <c r="BR90" s="139"/>
    </row>
    <row r="91" spans="2:70" ht="13.5" thickBot="1" x14ac:dyDescent="0.25">
      <c r="C91" s="400" t="s">
        <v>195</v>
      </c>
      <c r="D91" s="401"/>
      <c r="E91" s="402"/>
      <c r="F91" s="402"/>
      <c r="G91" s="403" t="s">
        <v>196</v>
      </c>
      <c r="H91" s="401"/>
      <c r="I91" s="402"/>
      <c r="J91" s="402"/>
      <c r="K91" s="403" t="s">
        <v>197</v>
      </c>
      <c r="L91" s="401"/>
      <c r="M91" s="402"/>
      <c r="N91" s="402"/>
      <c r="O91" s="403" t="s">
        <v>198</v>
      </c>
      <c r="P91" s="310"/>
      <c r="Q91" s="310"/>
      <c r="R91" s="310"/>
      <c r="S91" s="404"/>
      <c r="T91" s="310"/>
      <c r="U91" s="405"/>
      <c r="V91" s="310"/>
      <c r="W91" s="404"/>
      <c r="X91" s="310"/>
      <c r="Y91" s="405"/>
      <c r="Z91" s="310"/>
      <c r="AA91" s="404"/>
      <c r="AB91" s="310"/>
      <c r="AC91" s="405"/>
      <c r="AD91" s="310"/>
      <c r="AE91" s="404"/>
      <c r="AF91" s="310"/>
      <c r="AG91" s="405"/>
      <c r="AH91" s="310"/>
      <c r="AI91" s="404"/>
      <c r="AJ91" s="310"/>
      <c r="AK91" s="405"/>
      <c r="AL91" s="310"/>
      <c r="AM91" s="404"/>
      <c r="AN91" s="310"/>
      <c r="AO91" s="405"/>
      <c r="AP91" s="310"/>
      <c r="AQ91" s="730">
        <f>AQ73-AQ90</f>
        <v>3879.65</v>
      </c>
      <c r="AR91" s="310"/>
      <c r="AS91" s="405"/>
      <c r="AT91" s="310"/>
      <c r="AU91" s="731">
        <f>AR72*0.2%</f>
        <v>3807.98</v>
      </c>
      <c r="AV91" s="310"/>
      <c r="AW91" s="405"/>
      <c r="AX91" s="310"/>
      <c r="AY91" s="732">
        <f>AV72*0.2%</f>
        <v>3820.88</v>
      </c>
      <c r="AZ91" s="733"/>
      <c r="BA91" s="734"/>
      <c r="BB91" s="734"/>
      <c r="BC91" s="734"/>
      <c r="BD91" s="399"/>
      <c r="BE91" s="399"/>
      <c r="BF91" s="399"/>
      <c r="BR91" s="139"/>
    </row>
  </sheetData>
  <mergeCells count="14">
    <mergeCell ref="BG3:BG4"/>
    <mergeCell ref="BH3:BH4"/>
    <mergeCell ref="BI3:BI4"/>
    <mergeCell ref="BJ3:BJ4"/>
    <mergeCell ref="BK3:BK4"/>
    <mergeCell ref="BR3:BR4"/>
    <mergeCell ref="BS3:BS4"/>
    <mergeCell ref="BT3:BT4"/>
    <mergeCell ref="BU3:BU4"/>
    <mergeCell ref="BL3:BL4"/>
    <mergeCell ref="BM3:BM4"/>
    <mergeCell ref="BO3:BO4"/>
    <mergeCell ref="BP3:BP4"/>
    <mergeCell ref="BQ3:BQ4"/>
  </mergeCells>
  <pageMargins left="0.28999999999999998" right="0.17" top="0.3" bottom="0.18" header="0.31496062992125984" footer="0.31496062992125984"/>
  <pageSetup paperSize="9" scale="68" fitToWidth="6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PS76"/>
  <sheetViews>
    <sheetView zoomScaleNormal="100" workbookViewId="0">
      <pane xSplit="3" ySplit="4" topLeftCell="OS5" activePane="bottomRight" state="frozen"/>
      <selection pane="topRight" activeCell="D1" sqref="D1"/>
      <selection pane="bottomLeft" activeCell="A5" sqref="A5"/>
      <selection pane="bottomRight" activeCell="PB70" sqref="PB70"/>
    </sheetView>
  </sheetViews>
  <sheetFormatPr defaultColWidth="8.140625" defaultRowHeight="12.75" x14ac:dyDescent="0.2"/>
  <cols>
    <col min="1" max="1" width="2.42578125" style="6" customWidth="1"/>
    <col min="2" max="2" width="3" style="6" bestFit="1" customWidth="1"/>
    <col min="3" max="3" width="42.7109375" style="6" bestFit="1" customWidth="1"/>
    <col min="4" max="4" width="10.28515625" style="7" bestFit="1" customWidth="1"/>
    <col min="5" max="5" width="5.85546875" style="8" bestFit="1" customWidth="1"/>
    <col min="6" max="6" width="5.140625" style="8" customWidth="1"/>
    <col min="7" max="7" width="5.28515625" style="9" customWidth="1"/>
    <col min="8" max="12" width="4.85546875" style="8" bestFit="1" customWidth="1"/>
    <col min="13" max="13" width="6.140625" style="11" bestFit="1" customWidth="1"/>
    <col min="14" max="14" width="10.140625" style="8" customWidth="1"/>
    <col min="15" max="15" width="9.28515625" style="9" bestFit="1" customWidth="1"/>
    <col min="16" max="16" width="10.28515625" style="8" bestFit="1" customWidth="1"/>
    <col min="17" max="17" width="10.42578125" style="8" customWidth="1"/>
    <col min="18" max="18" width="10.28515625" style="8" bestFit="1" customWidth="1"/>
    <col min="19" max="19" width="9.28515625" style="8" bestFit="1" customWidth="1"/>
    <col min="20" max="20" width="9.7109375" style="8" customWidth="1"/>
    <col min="21" max="21" width="11" style="11" customWidth="1"/>
    <col min="22" max="22" width="11.7109375" style="7" bestFit="1" customWidth="1"/>
    <col min="23" max="23" width="5.85546875" style="8" bestFit="1" customWidth="1"/>
    <col min="24" max="24" width="5.140625" style="8" customWidth="1"/>
    <col min="25" max="25" width="4.85546875" style="9" bestFit="1" customWidth="1"/>
    <col min="26" max="31" width="4.85546875" style="8" bestFit="1" customWidth="1"/>
    <col min="32" max="32" width="6.140625" style="11" bestFit="1" customWidth="1"/>
    <col min="33" max="33" width="10.140625" style="8" customWidth="1"/>
    <col min="34" max="34" width="9.28515625" style="9" bestFit="1" customWidth="1"/>
    <col min="35" max="35" width="10.28515625" style="8" bestFit="1" customWidth="1"/>
    <col min="36" max="36" width="9.28515625" style="8" bestFit="1" customWidth="1"/>
    <col min="37" max="37" width="10.28515625" style="8" bestFit="1" customWidth="1"/>
    <col min="38" max="38" width="9.28515625" style="8" bestFit="1" customWidth="1"/>
    <col min="39" max="39" width="10.28515625" style="8" bestFit="1" customWidth="1"/>
    <col min="40" max="40" width="10.7109375" style="8" customWidth="1"/>
    <col min="41" max="41" width="10.28515625" style="11" customWidth="1"/>
    <col min="42" max="42" width="11.7109375" style="7" bestFit="1" customWidth="1"/>
    <col min="43" max="43" width="5.85546875" style="8" bestFit="1" customWidth="1"/>
    <col min="44" max="49" width="4.85546875" style="8" bestFit="1" customWidth="1"/>
    <col min="50" max="50" width="6.140625" style="11" bestFit="1" customWidth="1"/>
    <col min="51" max="51" width="10.28515625" style="8" bestFit="1" customWidth="1"/>
    <col min="52" max="52" width="9.28515625" style="8" bestFit="1" customWidth="1"/>
    <col min="53" max="53" width="10.28515625" style="8" bestFit="1" customWidth="1"/>
    <col min="54" max="54" width="9.28515625" style="8" bestFit="1" customWidth="1"/>
    <col min="55" max="55" width="10.28515625" style="8" bestFit="1" customWidth="1"/>
    <col min="56" max="56" width="10.85546875" style="8" customWidth="1"/>
    <col min="57" max="57" width="11.85546875" style="11" customWidth="1"/>
    <col min="58" max="58" width="11.7109375" style="7" bestFit="1" customWidth="1"/>
    <col min="59" max="59" width="5.85546875" style="8" bestFit="1" customWidth="1"/>
    <col min="60" max="65" width="4.85546875" style="8" bestFit="1" customWidth="1"/>
    <col min="66" max="66" width="5.28515625" style="8" customWidth="1"/>
    <col min="67" max="67" width="6.140625" style="11" bestFit="1" customWidth="1"/>
    <col min="68" max="68" width="10.28515625" style="8" bestFit="1" customWidth="1"/>
    <col min="69" max="69" width="9.28515625" style="8" bestFit="1" customWidth="1"/>
    <col min="70" max="70" width="10.28515625" style="8" bestFit="1" customWidth="1"/>
    <col min="71" max="71" width="9.28515625" style="8" bestFit="1" customWidth="1"/>
    <col min="72" max="73" width="10" style="8" customWidth="1"/>
    <col min="74" max="74" width="10.7109375" style="8" customWidth="1"/>
    <col min="75" max="75" width="11.85546875" style="11" customWidth="1"/>
    <col min="76" max="76" width="11.7109375" style="7" bestFit="1" customWidth="1"/>
    <col min="77" max="77" width="5.85546875" style="8" bestFit="1" customWidth="1"/>
    <col min="78" max="83" width="4.85546875" style="8" bestFit="1" customWidth="1"/>
    <col min="84" max="84" width="5.140625" style="8" customWidth="1"/>
    <col min="85" max="85" width="6.140625" style="11" bestFit="1" customWidth="1"/>
    <col min="86" max="86" width="10.28515625" style="8" bestFit="1" customWidth="1"/>
    <col min="87" max="87" width="9.28515625" style="8" bestFit="1" customWidth="1"/>
    <col min="88" max="88" width="10.28515625" style="8" bestFit="1" customWidth="1"/>
    <col min="89" max="89" width="9.28515625" style="8" bestFit="1" customWidth="1"/>
    <col min="90" max="90" width="10.5703125" style="8" customWidth="1"/>
    <col min="91" max="91" width="11.140625" style="8" customWidth="1"/>
    <col min="92" max="92" width="10.5703125" style="8" customWidth="1"/>
    <col min="93" max="93" width="11.85546875" style="11" customWidth="1"/>
    <col min="94" max="94" width="11.7109375" style="7" bestFit="1" customWidth="1"/>
    <col min="95" max="95" width="5.85546875" style="8" bestFit="1" customWidth="1"/>
    <col min="96" max="101" width="4.85546875" style="8" bestFit="1" customWidth="1"/>
    <col min="102" max="102" width="5.5703125" style="8" customWidth="1"/>
    <col min="103" max="103" width="6.140625" style="11" bestFit="1" customWidth="1"/>
    <col min="104" max="104" width="10.28515625" style="8" bestFit="1" customWidth="1"/>
    <col min="105" max="105" width="9.28515625" style="8" bestFit="1" customWidth="1"/>
    <col min="106" max="106" width="10.28515625" style="8" bestFit="1" customWidth="1"/>
    <col min="107" max="107" width="9.28515625" style="8" bestFit="1" customWidth="1"/>
    <col min="108" max="108" width="10.28515625" style="8" customWidth="1"/>
    <col min="109" max="109" width="9.7109375" style="8" customWidth="1"/>
    <col min="110" max="110" width="10.7109375" style="8" customWidth="1"/>
    <col min="111" max="111" width="11.85546875" style="11" customWidth="1"/>
    <col min="112" max="112" width="11.7109375" style="7" bestFit="1" customWidth="1"/>
    <col min="113" max="113" width="5.85546875" style="8" bestFit="1" customWidth="1"/>
    <col min="114" max="119" width="4.85546875" style="8" bestFit="1" customWidth="1"/>
    <col min="120" max="120" width="5.42578125" style="8" customWidth="1"/>
    <col min="121" max="121" width="6.140625" style="11" bestFit="1" customWidth="1"/>
    <col min="122" max="122" width="10.28515625" style="8" bestFit="1" customWidth="1"/>
    <col min="123" max="123" width="9.28515625" style="8" bestFit="1" customWidth="1"/>
    <col min="124" max="124" width="10.28515625" style="8" bestFit="1" customWidth="1"/>
    <col min="125" max="125" width="9.28515625" style="8" bestFit="1" customWidth="1"/>
    <col min="126" max="126" width="10.28515625" style="8" customWidth="1"/>
    <col min="127" max="128" width="10.42578125" style="8" customWidth="1"/>
    <col min="129" max="129" width="11.85546875" style="11" customWidth="1"/>
    <col min="130" max="130" width="11.7109375" style="7" bestFit="1" customWidth="1"/>
    <col min="131" max="131" width="5.85546875" style="8" bestFit="1" customWidth="1"/>
    <col min="132" max="132" width="5.42578125" style="8" customWidth="1"/>
    <col min="133" max="135" width="4.85546875" style="8" bestFit="1" customWidth="1"/>
    <col min="136" max="136" width="5.7109375" style="8" customWidth="1"/>
    <col min="137" max="137" width="6.28515625" style="8" customWidth="1"/>
    <col min="138" max="138" width="6.140625" style="11" bestFit="1" customWidth="1"/>
    <col min="139" max="139" width="10.28515625" style="8" bestFit="1" customWidth="1"/>
    <col min="140" max="141" width="9.28515625" style="8" bestFit="1" customWidth="1"/>
    <col min="142" max="142" width="9.7109375" style="8" customWidth="1"/>
    <col min="143" max="143" width="10.5703125" style="8" customWidth="1"/>
    <col min="144" max="144" width="10.28515625" style="8" customWidth="1"/>
    <col min="145" max="145" width="11.85546875" style="11" customWidth="1"/>
    <col min="146" max="146" width="11.7109375" style="7" bestFit="1" customWidth="1"/>
    <col min="147" max="147" width="5.85546875" style="8" bestFit="1" customWidth="1"/>
    <col min="148" max="149" width="4.85546875" style="8" bestFit="1" customWidth="1"/>
    <col min="150" max="150" width="5.7109375" style="8" customWidth="1"/>
    <col min="151" max="151" width="6.140625" style="8" customWidth="1"/>
    <col min="152" max="152" width="6.140625" style="11" bestFit="1" customWidth="1"/>
    <col min="153" max="153" width="10.28515625" style="8" bestFit="1" customWidth="1"/>
    <col min="154" max="154" width="9.28515625" style="8" bestFit="1" customWidth="1"/>
    <col min="155" max="156" width="10.5703125" style="8" customWidth="1"/>
    <col min="157" max="157" width="11.85546875" style="11" customWidth="1"/>
    <col min="158" max="158" width="11.7109375" style="7" bestFit="1" customWidth="1"/>
    <col min="159" max="159" width="5.85546875" style="8" bestFit="1" customWidth="1"/>
    <col min="160" max="161" width="4.85546875" style="8" bestFit="1" customWidth="1"/>
    <col min="162" max="162" width="6.140625" style="8" customWidth="1"/>
    <col min="163" max="163" width="6.140625" style="11" bestFit="1" customWidth="1"/>
    <col min="164" max="164" width="10.28515625" style="8" bestFit="1" customWidth="1"/>
    <col min="165" max="165" width="10.140625" style="8" customWidth="1"/>
    <col min="166" max="166" width="11.140625" style="8" customWidth="1"/>
    <col min="167" max="167" width="12.5703125" style="11" customWidth="1"/>
    <col min="168" max="168" width="11.7109375" style="7" bestFit="1" customWidth="1"/>
    <col min="169" max="169" width="5.85546875" style="8" bestFit="1" customWidth="1"/>
    <col min="170" max="170" width="4.85546875" style="8" bestFit="1" customWidth="1"/>
    <col min="171" max="171" width="5.5703125" style="8" customWidth="1"/>
    <col min="172" max="173" width="4.85546875" style="8" bestFit="1" customWidth="1"/>
    <col min="174" max="174" width="5.5703125" style="8" customWidth="1"/>
    <col min="175" max="175" width="6.140625" style="11" bestFit="1" customWidth="1"/>
    <col min="176" max="176" width="10.28515625" style="8" bestFit="1" customWidth="1"/>
    <col min="177" max="177" width="10.7109375" style="8" customWidth="1"/>
    <col min="178" max="178" width="9.42578125" style="8" customWidth="1"/>
    <col min="179" max="179" width="9.5703125" style="8" customWidth="1"/>
    <col min="180" max="180" width="11" style="8" customWidth="1"/>
    <col min="181" max="181" width="12.5703125" style="11" customWidth="1"/>
    <col min="182" max="182" width="11.7109375" style="7" bestFit="1" customWidth="1"/>
    <col min="183" max="183" width="6.7109375" style="8" bestFit="1" customWidth="1"/>
    <col min="184" max="184" width="5.5703125" style="8" customWidth="1"/>
    <col min="185" max="187" width="4.85546875" style="8" bestFit="1" customWidth="1"/>
    <col min="188" max="188" width="6.140625" style="11" bestFit="1" customWidth="1"/>
    <col min="189" max="190" width="11.5703125" style="8" customWidth="1"/>
    <col min="191" max="192" width="10.28515625" style="8" customWidth="1"/>
    <col min="193" max="194" width="9.7109375" style="8" customWidth="1"/>
    <col min="195" max="195" width="12.5703125" style="11" customWidth="1"/>
    <col min="196" max="196" width="11.5703125" style="412" customWidth="1"/>
    <col min="197" max="197" width="5.5703125" style="8" bestFit="1" customWidth="1"/>
    <col min="198" max="198" width="5.5703125" style="8" customWidth="1"/>
    <col min="199" max="199" width="5.42578125" style="8" bestFit="1" customWidth="1"/>
    <col min="200" max="202" width="4.85546875" style="8" bestFit="1" customWidth="1"/>
    <col min="203" max="203" width="6.140625" style="11" bestFit="1" customWidth="1"/>
    <col min="204" max="204" width="10.42578125" style="8" customWidth="1"/>
    <col min="205" max="205" width="10.140625" style="8" customWidth="1"/>
    <col min="206" max="208" width="9.7109375" style="8" customWidth="1"/>
    <col min="209" max="209" width="12.5703125" style="11" customWidth="1"/>
    <col min="210" max="210" width="11.7109375" style="7" bestFit="1" customWidth="1"/>
    <col min="211" max="211" width="5.85546875" style="8" bestFit="1" customWidth="1"/>
    <col min="212" max="212" width="4.85546875" style="8" bestFit="1" customWidth="1"/>
    <col min="213" max="213" width="5.42578125" style="8" bestFit="1" customWidth="1"/>
    <col min="214" max="219" width="4.85546875" style="8" bestFit="1" customWidth="1"/>
    <col min="220" max="220" width="6.140625" style="11" bestFit="1" customWidth="1"/>
    <col min="221" max="221" width="10" style="8" customWidth="1"/>
    <col min="222" max="222" width="11.140625" style="8" customWidth="1"/>
    <col min="223" max="223" width="9.140625" style="8" customWidth="1"/>
    <col min="224" max="224" width="10.42578125" style="8" customWidth="1"/>
    <col min="225" max="225" width="10.85546875" style="8" customWidth="1"/>
    <col min="226" max="226" width="10.7109375" style="8" customWidth="1"/>
    <col min="227" max="227" width="10.140625" style="8" customWidth="1"/>
    <col min="228" max="228" width="9.140625" style="8" customWidth="1"/>
    <col min="229" max="229" width="12.7109375" style="11" customWidth="1"/>
    <col min="230" max="230" width="11.7109375" style="7" hidden="1" customWidth="1"/>
    <col min="231" max="231" width="5.85546875" style="8" hidden="1" customWidth="1"/>
    <col min="232" max="233" width="4.85546875" style="8" hidden="1" customWidth="1"/>
    <col min="234" max="234" width="6.140625" style="11" hidden="1" customWidth="1"/>
    <col min="235" max="235" width="8.7109375" style="8" hidden="1" customWidth="1"/>
    <col min="236" max="236" width="9.7109375" style="8" hidden="1" customWidth="1"/>
    <col min="237" max="237" width="12.5703125" style="11" hidden="1" customWidth="1"/>
    <col min="238" max="238" width="11.7109375" style="7" bestFit="1" customWidth="1"/>
    <col min="239" max="239" width="5.85546875" style="8" bestFit="1" customWidth="1"/>
    <col min="240" max="240" width="5.5703125" style="8" customWidth="1"/>
    <col min="241" max="241" width="6.42578125" style="8" customWidth="1"/>
    <col min="242" max="242" width="6" style="8" customWidth="1"/>
    <col min="243" max="243" width="5.85546875" style="8" customWidth="1"/>
    <col min="244" max="246" width="5.140625" style="8" customWidth="1"/>
    <col min="247" max="247" width="5.28515625" style="8" customWidth="1"/>
    <col min="248" max="248" width="5.140625" style="8" customWidth="1"/>
    <col min="249" max="249" width="6.140625" style="11" customWidth="1"/>
    <col min="250" max="258" width="12.5703125" style="8" customWidth="1"/>
    <col min="259" max="259" width="12.5703125" style="11" customWidth="1"/>
    <col min="260" max="260" width="11.7109375" style="7" bestFit="1" customWidth="1"/>
    <col min="261" max="261" width="5.85546875" style="8" bestFit="1" customWidth="1"/>
    <col min="262" max="262" width="5.5703125" style="8" customWidth="1"/>
    <col min="263" max="263" width="5.85546875" style="8" customWidth="1"/>
    <col min="264" max="264" width="5.7109375" style="8" customWidth="1"/>
    <col min="265" max="265" width="5" style="8" customWidth="1"/>
    <col min="266" max="266" width="7.7109375" style="8" customWidth="1"/>
    <col min="267" max="267" width="6" style="8" customWidth="1"/>
    <col min="268" max="269" width="5.7109375" style="8" customWidth="1"/>
    <col min="270" max="270" width="6" style="8" customWidth="1"/>
    <col min="271" max="271" width="6.140625" style="11" customWidth="1"/>
    <col min="272" max="280" width="12.5703125" style="8" customWidth="1"/>
    <col min="281" max="281" width="12.5703125" style="11" customWidth="1"/>
    <col min="282" max="282" width="11.7109375" style="7" bestFit="1" customWidth="1"/>
    <col min="283" max="283" width="5.85546875" style="8" bestFit="1" customWidth="1"/>
    <col min="284" max="285" width="5.5703125" style="8" customWidth="1"/>
    <col min="286" max="286" width="5.7109375" style="8" customWidth="1"/>
    <col min="287" max="287" width="5" style="8" customWidth="1"/>
    <col min="288" max="288" width="7.7109375" style="8" customWidth="1"/>
    <col min="289" max="289" width="6" style="8" customWidth="1"/>
    <col min="290" max="291" width="5.7109375" style="8" customWidth="1"/>
    <col min="292" max="292" width="6" style="8" customWidth="1"/>
    <col min="293" max="293" width="6.140625" style="11" customWidth="1"/>
    <col min="294" max="302" width="12.5703125" style="8" customWidth="1"/>
    <col min="303" max="303" width="12.5703125" style="11" customWidth="1"/>
    <col min="304" max="304" width="11.7109375" style="7" bestFit="1" customWidth="1"/>
    <col min="305" max="305" width="5.85546875" style="8" bestFit="1" customWidth="1"/>
    <col min="306" max="306" width="5.5703125" style="8" customWidth="1"/>
    <col min="307" max="307" width="5.7109375" style="8" customWidth="1"/>
    <col min="308" max="308" width="5" style="8" customWidth="1"/>
    <col min="309" max="309" width="7.7109375" style="8" customWidth="1"/>
    <col min="310" max="310" width="6" style="8" customWidth="1"/>
    <col min="311" max="312" width="5.7109375" style="8" customWidth="1"/>
    <col min="313" max="313" width="6" style="8" customWidth="1"/>
    <col min="314" max="314" width="6.140625" style="11" customWidth="1"/>
    <col min="315" max="322" width="12.5703125" style="8" customWidth="1"/>
    <col min="323" max="323" width="12.5703125" style="11" customWidth="1"/>
    <col min="324" max="324" width="11.7109375" style="7" bestFit="1" customWidth="1"/>
    <col min="325" max="325" width="5.85546875" style="8" bestFit="1" customWidth="1"/>
    <col min="326" max="326" width="5.7109375" style="8" customWidth="1"/>
    <col min="327" max="327" width="5" style="8" customWidth="1"/>
    <col min="328" max="328" width="7.7109375" style="8" customWidth="1"/>
    <col min="329" max="329" width="6" style="8" customWidth="1"/>
    <col min="330" max="331" width="5.7109375" style="8" customWidth="1"/>
    <col min="332" max="332" width="6" style="8" customWidth="1"/>
    <col min="333" max="333" width="6.140625" style="11" customWidth="1"/>
    <col min="334" max="340" width="12.5703125" style="8" customWidth="1"/>
    <col min="341" max="341" width="12.5703125" style="11" customWidth="1"/>
    <col min="342" max="342" width="11.7109375" style="7" bestFit="1" customWidth="1"/>
    <col min="343" max="343" width="5.85546875" style="8" bestFit="1" customWidth="1"/>
    <col min="344" max="344" width="5.7109375" style="8" customWidth="1"/>
    <col min="345" max="345" width="7.7109375" style="8" customWidth="1"/>
    <col min="346" max="346" width="6" style="8" customWidth="1"/>
    <col min="347" max="349" width="5.7109375" style="8" customWidth="1"/>
    <col min="350" max="350" width="6" style="8" customWidth="1"/>
    <col min="351" max="351" width="6.140625" style="11" customWidth="1"/>
    <col min="352" max="358" width="12.5703125" style="8" customWidth="1"/>
    <col min="359" max="359" width="12.5703125" style="11" customWidth="1"/>
    <col min="360" max="360" width="12.42578125" style="7" bestFit="1" customWidth="1"/>
    <col min="361" max="361" width="6.5703125" style="8" bestFit="1" customWidth="1"/>
    <col min="362" max="362" width="5.7109375" style="8" customWidth="1"/>
    <col min="363" max="363" width="7.7109375" style="8" customWidth="1"/>
    <col min="364" max="364" width="6" style="8" customWidth="1"/>
    <col min="365" max="367" width="5.7109375" style="8" customWidth="1"/>
    <col min="368" max="368" width="6" style="8" customWidth="1"/>
    <col min="369" max="369" width="6.140625" style="11" customWidth="1"/>
    <col min="370" max="376" width="12.5703125" style="8" customWidth="1"/>
    <col min="377" max="377" width="12.5703125" style="11" customWidth="1"/>
    <col min="378" max="378" width="13.5703125" style="7" customWidth="1"/>
    <col min="379" max="379" width="6.5703125" style="8" bestFit="1" customWidth="1"/>
    <col min="380" max="380" width="5.7109375" style="8" customWidth="1"/>
    <col min="381" max="381" width="6" style="8" customWidth="1"/>
    <col min="382" max="383" width="5.7109375" style="8" customWidth="1"/>
    <col min="384" max="384" width="6" style="8" customWidth="1"/>
    <col min="385" max="385" width="6.140625" style="11" customWidth="1"/>
    <col min="386" max="390" width="12.5703125" style="8" customWidth="1"/>
    <col min="391" max="391" width="12.5703125" style="11" customWidth="1"/>
    <col min="392" max="392" width="13" style="7" customWidth="1"/>
    <col min="393" max="393" width="6.5703125" style="8" bestFit="1" customWidth="1"/>
    <col min="394" max="394" width="5.7109375" style="8" customWidth="1"/>
    <col min="395" max="395" width="6" style="8" customWidth="1"/>
    <col min="396" max="397" width="5.7109375" style="8" customWidth="1"/>
    <col min="398" max="398" width="6" style="8" customWidth="1"/>
    <col min="399" max="399" width="6.140625" style="11" customWidth="1"/>
    <col min="400" max="404" width="12.5703125" style="8" customWidth="1"/>
    <col min="405" max="405" width="12.5703125" style="11" customWidth="1"/>
    <col min="406" max="406" width="13" style="7" bestFit="1" customWidth="1"/>
    <col min="407" max="407" width="7.28515625" style="8" customWidth="1"/>
    <col min="408" max="408" width="5.7109375" style="8" customWidth="1"/>
    <col min="409" max="409" width="6" style="8" customWidth="1"/>
    <col min="410" max="411" width="5.7109375" style="8" customWidth="1"/>
    <col min="412" max="412" width="6" style="8" customWidth="1"/>
    <col min="413" max="413" width="6.140625" style="11" customWidth="1"/>
    <col min="414" max="418" width="12.5703125" style="8" customWidth="1"/>
    <col min="419" max="419" width="12.5703125" style="853" customWidth="1"/>
    <col min="420" max="420" width="13" style="7" bestFit="1" customWidth="1"/>
    <col min="421" max="421" width="7.28515625" style="8" customWidth="1"/>
    <col min="422" max="422" width="5.7109375" style="8" customWidth="1"/>
    <col min="423" max="423" width="6" style="8" customWidth="1"/>
    <col min="424" max="425" width="5.7109375" style="8" customWidth="1"/>
    <col min="426" max="426" width="6" style="8" customWidth="1"/>
    <col min="427" max="427" width="6.140625" style="11" customWidth="1"/>
    <col min="428" max="432" width="12.5703125" style="8" customWidth="1"/>
    <col min="433" max="433" width="12.5703125" style="853" customWidth="1"/>
    <col min="434" max="434" width="8.140625" style="6"/>
    <col min="435" max="435" width="8.140625" style="6" customWidth="1"/>
    <col min="436" max="16384" width="8.140625" style="6"/>
  </cols>
  <sheetData>
    <row r="1" spans="2:435" ht="4.1500000000000004" customHeight="1" x14ac:dyDescent="0.2"/>
    <row r="2" spans="2:435" s="17" customFormat="1" ht="20.25" customHeight="1" thickBot="1" x14ac:dyDescent="0.25">
      <c r="B2" s="19"/>
      <c r="C2" s="20"/>
      <c r="D2" s="21"/>
      <c r="E2" s="21"/>
      <c r="F2" s="21"/>
      <c r="G2" s="23"/>
      <c r="H2" s="21"/>
      <c r="I2" s="21"/>
      <c r="J2" s="21"/>
      <c r="K2" s="21"/>
      <c r="L2" s="21"/>
      <c r="M2" s="22"/>
      <c r="N2" s="21"/>
      <c r="O2" s="23"/>
      <c r="P2" s="21"/>
      <c r="Q2" s="21"/>
      <c r="R2" s="21"/>
      <c r="S2" s="21"/>
      <c r="T2" s="21"/>
      <c r="U2" s="22"/>
      <c r="V2" s="21"/>
      <c r="W2" s="21"/>
      <c r="X2" s="21"/>
      <c r="Y2" s="23"/>
      <c r="Z2" s="21"/>
      <c r="AA2" s="21"/>
      <c r="AB2" s="21"/>
      <c r="AC2" s="21"/>
      <c r="AD2" s="21"/>
      <c r="AE2" s="21"/>
      <c r="AF2" s="22"/>
      <c r="AG2" s="21"/>
      <c r="AH2" s="23"/>
      <c r="AI2" s="21"/>
      <c r="AJ2" s="21"/>
      <c r="AK2" s="21"/>
      <c r="AL2" s="21"/>
      <c r="AM2" s="21"/>
      <c r="AN2" s="21"/>
      <c r="AO2" s="22"/>
      <c r="AP2" s="21"/>
      <c r="AQ2" s="21"/>
      <c r="AR2" s="21"/>
      <c r="AS2" s="21"/>
      <c r="AT2" s="21"/>
      <c r="AU2" s="21"/>
      <c r="AV2" s="21"/>
      <c r="AW2" s="21"/>
      <c r="AX2" s="22"/>
      <c r="AY2" s="21"/>
      <c r="AZ2" s="21"/>
      <c r="BA2" s="21"/>
      <c r="BB2" s="21"/>
      <c r="BC2" s="21"/>
      <c r="BD2" s="21"/>
      <c r="BE2" s="22"/>
      <c r="BF2" s="21"/>
      <c r="BG2" s="21"/>
      <c r="BH2" s="21"/>
      <c r="BI2" s="21"/>
      <c r="BJ2" s="21"/>
      <c r="BK2" s="21"/>
      <c r="BL2" s="21"/>
      <c r="BM2" s="21"/>
      <c r="BN2" s="21"/>
      <c r="BO2" s="22"/>
      <c r="BP2" s="21"/>
      <c r="BQ2" s="21"/>
      <c r="BR2" s="21"/>
      <c r="BS2" s="21"/>
      <c r="BT2" s="21"/>
      <c r="BU2" s="21"/>
      <c r="BV2" s="21"/>
      <c r="BW2" s="22"/>
      <c r="BX2" s="21"/>
      <c r="BY2" s="21"/>
      <c r="BZ2" s="21"/>
      <c r="CA2" s="21"/>
      <c r="CB2" s="21"/>
      <c r="CC2" s="21"/>
      <c r="CD2" s="21"/>
      <c r="CE2" s="21"/>
      <c r="CF2" s="21"/>
      <c r="CG2" s="22"/>
      <c r="CH2" s="21"/>
      <c r="CI2" s="21"/>
      <c r="CJ2" s="21"/>
      <c r="CK2" s="21"/>
      <c r="CL2" s="21"/>
      <c r="CM2" s="21"/>
      <c r="CN2" s="21"/>
      <c r="CO2" s="22"/>
      <c r="CP2" s="21"/>
      <c r="CQ2" s="21"/>
      <c r="CR2" s="21"/>
      <c r="CS2" s="21"/>
      <c r="CT2" s="21"/>
      <c r="CU2" s="21"/>
      <c r="CV2" s="21"/>
      <c r="CW2" s="21"/>
      <c r="CX2" s="21"/>
      <c r="CY2" s="22"/>
      <c r="CZ2" s="21"/>
      <c r="DA2" s="21"/>
      <c r="DB2" s="21"/>
      <c r="DC2" s="21"/>
      <c r="DD2" s="21"/>
      <c r="DE2" s="21"/>
      <c r="DF2" s="21"/>
      <c r="DG2" s="22"/>
      <c r="DH2" s="21"/>
      <c r="DI2" s="21"/>
      <c r="DJ2" s="21"/>
      <c r="DK2" s="21"/>
      <c r="DL2" s="21"/>
      <c r="DM2" s="21"/>
      <c r="DN2" s="21"/>
      <c r="DO2" s="21"/>
      <c r="DP2" s="21"/>
      <c r="DQ2" s="22"/>
      <c r="DR2" s="21"/>
      <c r="DS2" s="21"/>
      <c r="DT2" s="21"/>
      <c r="DU2" s="21"/>
      <c r="DV2" s="21"/>
      <c r="DW2" s="21"/>
      <c r="DX2" s="21"/>
      <c r="DY2" s="22"/>
      <c r="DZ2" s="21"/>
      <c r="EA2" s="21"/>
      <c r="EB2" s="21"/>
      <c r="EC2" s="21"/>
      <c r="ED2" s="21"/>
      <c r="EE2" s="21"/>
      <c r="EF2" s="21"/>
      <c r="EG2" s="21"/>
      <c r="EH2" s="22"/>
      <c r="EI2" s="21"/>
      <c r="EJ2" s="21"/>
      <c r="EK2" s="21"/>
      <c r="EL2" s="21"/>
      <c r="EM2" s="21"/>
      <c r="EN2" s="21"/>
      <c r="EO2" s="22"/>
      <c r="EP2" s="21"/>
      <c r="EQ2" s="21"/>
      <c r="ER2" s="21"/>
      <c r="ES2" s="21"/>
      <c r="ET2" s="21"/>
      <c r="EU2" s="21"/>
      <c r="EV2" s="22"/>
      <c r="EW2" s="21"/>
      <c r="EX2" s="21"/>
      <c r="EY2" s="21"/>
      <c r="EZ2" s="21"/>
      <c r="FA2" s="22"/>
      <c r="FB2" s="21"/>
      <c r="FC2" s="21"/>
      <c r="FD2" s="21"/>
      <c r="FE2" s="21"/>
      <c r="FF2" s="21"/>
      <c r="FG2" s="22"/>
      <c r="FH2" s="21"/>
      <c r="FI2" s="21"/>
      <c r="FJ2" s="21"/>
      <c r="FK2" s="22"/>
      <c r="FL2" s="21"/>
      <c r="FM2" s="21"/>
      <c r="FN2" s="21"/>
      <c r="FO2" s="21"/>
      <c r="FP2" s="21"/>
      <c r="FQ2" s="21"/>
      <c r="FR2" s="21"/>
      <c r="FS2" s="22"/>
      <c r="FT2" s="21"/>
      <c r="FU2" s="21"/>
      <c r="FV2" s="21"/>
      <c r="FW2" s="21"/>
      <c r="FX2" s="21"/>
      <c r="FY2" s="22"/>
      <c r="FZ2" s="21"/>
      <c r="GA2" s="21"/>
      <c r="GB2" s="21"/>
      <c r="GC2" s="21"/>
      <c r="GD2" s="21"/>
      <c r="GE2" s="21"/>
      <c r="GF2" s="22"/>
      <c r="GG2" s="21"/>
      <c r="GH2" s="21"/>
      <c r="GI2" s="21"/>
      <c r="GJ2" s="21"/>
      <c r="GK2" s="21"/>
      <c r="GL2" s="21"/>
      <c r="GM2" s="22"/>
      <c r="GN2" s="413"/>
      <c r="GO2" s="21"/>
      <c r="GP2" s="21"/>
      <c r="GQ2" s="21"/>
      <c r="GR2" s="21"/>
      <c r="GS2" s="21"/>
      <c r="GT2" s="21"/>
      <c r="GU2" s="22"/>
      <c r="GV2" s="21"/>
      <c r="GW2" s="21"/>
      <c r="GX2" s="21"/>
      <c r="GY2" s="21"/>
      <c r="GZ2" s="21"/>
      <c r="HA2" s="22"/>
      <c r="HB2" s="21"/>
      <c r="HC2" s="21"/>
      <c r="HD2" s="21"/>
      <c r="HE2" s="21"/>
      <c r="HF2" s="21"/>
      <c r="HG2" s="21"/>
      <c r="HH2" s="21"/>
      <c r="HI2" s="21"/>
      <c r="HJ2" s="21"/>
      <c r="HK2" s="21"/>
      <c r="HL2" s="22"/>
      <c r="HM2" s="21"/>
      <c r="HN2" s="21"/>
      <c r="HO2" s="21"/>
      <c r="HP2" s="21"/>
      <c r="HQ2" s="21"/>
      <c r="HR2" s="21"/>
      <c r="HS2" s="21"/>
      <c r="HT2" s="21"/>
      <c r="HU2" s="22"/>
      <c r="HV2" s="21"/>
      <c r="HW2" s="21"/>
      <c r="HX2" s="21"/>
      <c r="HY2" s="21"/>
      <c r="HZ2" s="22"/>
      <c r="IA2" s="21"/>
      <c r="IB2" s="21"/>
      <c r="IC2" s="22"/>
      <c r="ID2" s="21"/>
      <c r="IE2" s="21"/>
      <c r="IF2" s="21"/>
      <c r="IG2" s="21"/>
      <c r="IH2" s="21"/>
      <c r="II2" s="21"/>
      <c r="IJ2" s="21"/>
      <c r="IK2" s="21"/>
      <c r="IL2" s="21"/>
      <c r="IM2" s="21"/>
      <c r="IN2" s="21"/>
      <c r="IO2" s="22"/>
      <c r="IP2" s="21"/>
      <c r="IQ2" s="21"/>
      <c r="IR2" s="21"/>
      <c r="IS2" s="21"/>
      <c r="IT2" s="21"/>
      <c r="IU2" s="21"/>
      <c r="IV2" s="21"/>
      <c r="IW2" s="21"/>
      <c r="IX2" s="21"/>
      <c r="IY2" s="22"/>
      <c r="IZ2" s="21"/>
      <c r="JA2" s="21"/>
      <c r="JB2" s="21"/>
      <c r="JC2" s="21"/>
      <c r="JD2" s="21"/>
      <c r="JE2" s="21"/>
      <c r="JF2" s="21"/>
      <c r="JG2" s="21"/>
      <c r="JH2" s="21"/>
      <c r="JI2" s="21"/>
      <c r="JJ2" s="21"/>
      <c r="JK2" s="22"/>
      <c r="JL2" s="21"/>
      <c r="JM2" s="21"/>
      <c r="JN2" s="21"/>
      <c r="JO2" s="21"/>
      <c r="JP2" s="21"/>
      <c r="JQ2" s="21"/>
      <c r="JR2" s="21"/>
      <c r="JS2" s="21"/>
      <c r="JT2" s="21"/>
      <c r="JU2" s="22"/>
      <c r="JV2" s="21"/>
      <c r="JW2" s="21"/>
      <c r="JX2" s="21"/>
      <c r="JY2" s="21"/>
      <c r="JZ2" s="21"/>
      <c r="KA2" s="21"/>
      <c r="KB2" s="21"/>
      <c r="KC2" s="21"/>
      <c r="KD2" s="21"/>
      <c r="KE2" s="21"/>
      <c r="KF2" s="21"/>
      <c r="KG2" s="22"/>
      <c r="KH2" s="21"/>
      <c r="KI2" s="21"/>
      <c r="KJ2" s="21"/>
      <c r="KK2" s="21"/>
      <c r="KL2" s="21"/>
      <c r="KM2" s="21"/>
      <c r="KN2" s="21"/>
      <c r="KO2" s="21"/>
      <c r="KP2" s="21"/>
      <c r="KQ2" s="22"/>
      <c r="KR2" s="21"/>
      <c r="KS2" s="21"/>
      <c r="KT2" s="21"/>
      <c r="KU2" s="21"/>
      <c r="KV2" s="21"/>
      <c r="KW2" s="21"/>
      <c r="KX2" s="21"/>
      <c r="KY2" s="21"/>
      <c r="KZ2" s="21"/>
      <c r="LA2" s="21"/>
      <c r="LB2" s="22"/>
      <c r="LC2" s="21"/>
      <c r="LD2" s="21"/>
      <c r="LE2" s="21"/>
      <c r="LF2" s="21"/>
      <c r="LG2" s="21"/>
      <c r="LH2" s="21"/>
      <c r="LI2" s="21"/>
      <c r="LJ2" s="21"/>
      <c r="LK2" s="22"/>
      <c r="LL2" s="21"/>
      <c r="LM2" s="21"/>
      <c r="LN2" s="21"/>
      <c r="LO2" s="21"/>
      <c r="LP2" s="21"/>
      <c r="LQ2" s="21"/>
      <c r="LR2" s="21"/>
      <c r="LS2" s="21"/>
      <c r="LT2" s="21"/>
      <c r="LU2" s="22"/>
      <c r="LV2" s="21"/>
      <c r="LW2" s="21"/>
      <c r="LX2" s="21"/>
      <c r="LY2" s="21"/>
      <c r="LZ2" s="21"/>
      <c r="MA2" s="21"/>
      <c r="MB2" s="21"/>
      <c r="MC2" s="22"/>
      <c r="MD2" s="21"/>
      <c r="ME2" s="21"/>
      <c r="MF2" s="21"/>
      <c r="MG2" s="21"/>
      <c r="MH2" s="21"/>
      <c r="MI2" s="21"/>
      <c r="MJ2" s="21"/>
      <c r="MK2" s="21"/>
      <c r="ML2" s="21"/>
      <c r="MM2" s="22"/>
      <c r="MN2" s="21"/>
      <c r="MO2" s="21"/>
      <c r="MP2" s="21"/>
      <c r="MQ2" s="21"/>
      <c r="MR2" s="21"/>
      <c r="MS2" s="21"/>
      <c r="MT2" s="21"/>
      <c r="MU2" s="22"/>
      <c r="MV2" s="21"/>
      <c r="MW2" s="21"/>
      <c r="MX2" s="21"/>
      <c r="MY2" s="21"/>
      <c r="MZ2" s="21"/>
      <c r="NA2" s="21"/>
      <c r="NB2" s="21"/>
      <c r="NC2" s="21"/>
      <c r="ND2" s="21"/>
      <c r="NE2" s="22"/>
      <c r="NF2" s="21"/>
      <c r="NG2" s="21"/>
      <c r="NH2" s="21"/>
      <c r="NI2" s="21"/>
      <c r="NJ2" s="21"/>
      <c r="NK2" s="21"/>
      <c r="NL2" s="21"/>
      <c r="NM2" s="22"/>
      <c r="NN2" s="21"/>
      <c r="NO2" s="21"/>
      <c r="NP2" s="21"/>
      <c r="NQ2" s="21"/>
      <c r="NR2" s="21"/>
      <c r="NS2" s="21"/>
      <c r="NT2" s="21"/>
      <c r="NU2" s="22"/>
      <c r="NV2" s="21"/>
      <c r="NW2" s="21"/>
      <c r="NX2" s="21"/>
      <c r="NY2" s="21"/>
      <c r="NZ2" s="21"/>
      <c r="OA2" s="22"/>
      <c r="OB2" s="21"/>
      <c r="OC2" s="21"/>
      <c r="OD2" s="21"/>
      <c r="OE2" s="21"/>
      <c r="OF2" s="21"/>
      <c r="OG2" s="21"/>
      <c r="OH2" s="21"/>
      <c r="OI2" s="22"/>
      <c r="OJ2" s="21"/>
      <c r="OK2" s="21"/>
      <c r="OL2" s="21"/>
      <c r="OM2" s="21"/>
      <c r="ON2" s="21"/>
      <c r="OO2" s="22"/>
      <c r="OP2" s="21"/>
      <c r="OQ2" s="21"/>
      <c r="OR2" s="21"/>
      <c r="OS2" s="21"/>
      <c r="OT2" s="21"/>
      <c r="OU2" s="21"/>
      <c r="OV2" s="21"/>
      <c r="OW2" s="22"/>
      <c r="OX2" s="21"/>
      <c r="OY2" s="21"/>
      <c r="OZ2" s="21"/>
      <c r="PA2" s="21"/>
      <c r="PB2" s="21"/>
      <c r="PC2" s="854"/>
      <c r="PD2" s="21"/>
      <c r="PE2" s="21"/>
      <c r="PF2" s="21"/>
      <c r="PG2" s="21"/>
      <c r="PH2" s="21"/>
      <c r="PI2" s="21"/>
      <c r="PJ2" s="21"/>
      <c r="PK2" s="22"/>
      <c r="PL2" s="21"/>
      <c r="PM2" s="21"/>
      <c r="PN2" s="21"/>
      <c r="PO2" s="21"/>
      <c r="PP2" s="21"/>
      <c r="PQ2" s="854"/>
    </row>
    <row r="3" spans="2:435" s="8" customFormat="1" ht="12" customHeight="1" x14ac:dyDescent="0.2">
      <c r="B3" s="1134"/>
      <c r="C3" s="1136" t="s">
        <v>0</v>
      </c>
      <c r="D3" s="1128" t="s">
        <v>1</v>
      </c>
      <c r="E3" s="1129"/>
      <c r="F3" s="1162" t="s">
        <v>54</v>
      </c>
      <c r="G3" s="1132" t="s">
        <v>53</v>
      </c>
      <c r="H3" s="1132" t="s">
        <v>55</v>
      </c>
      <c r="I3" s="1132" t="s">
        <v>56</v>
      </c>
      <c r="J3" s="1132" t="s">
        <v>57</v>
      </c>
      <c r="K3" s="1132" t="s">
        <v>58</v>
      </c>
      <c r="L3" s="1140" t="s">
        <v>64</v>
      </c>
      <c r="M3" s="1142" t="s">
        <v>63</v>
      </c>
      <c r="N3" s="1162" t="s">
        <v>54</v>
      </c>
      <c r="O3" s="1132" t="s">
        <v>53</v>
      </c>
      <c r="P3" s="1132" t="s">
        <v>55</v>
      </c>
      <c r="Q3" s="1132" t="s">
        <v>56</v>
      </c>
      <c r="R3" s="1132" t="s">
        <v>57</v>
      </c>
      <c r="S3" s="1132" t="s">
        <v>58</v>
      </c>
      <c r="T3" s="1140" t="s">
        <v>64</v>
      </c>
      <c r="U3" s="1142" t="s">
        <v>63</v>
      </c>
      <c r="V3" s="1128" t="s">
        <v>2</v>
      </c>
      <c r="W3" s="1129"/>
      <c r="X3" s="1162" t="s">
        <v>54</v>
      </c>
      <c r="Y3" s="1132" t="s">
        <v>53</v>
      </c>
      <c r="Z3" s="1132" t="s">
        <v>55</v>
      </c>
      <c r="AA3" s="1132" t="s">
        <v>56</v>
      </c>
      <c r="AB3" s="1132" t="s">
        <v>57</v>
      </c>
      <c r="AC3" s="1132" t="s">
        <v>58</v>
      </c>
      <c r="AD3" s="1132" t="s">
        <v>64</v>
      </c>
      <c r="AE3" s="1140" t="s">
        <v>59</v>
      </c>
      <c r="AF3" s="1142" t="s">
        <v>63</v>
      </c>
      <c r="AG3" s="1162" t="s">
        <v>54</v>
      </c>
      <c r="AH3" s="1132" t="s">
        <v>53</v>
      </c>
      <c r="AI3" s="1132" t="s">
        <v>55</v>
      </c>
      <c r="AJ3" s="1132" t="s">
        <v>56</v>
      </c>
      <c r="AK3" s="1132" t="s">
        <v>57</v>
      </c>
      <c r="AL3" s="1132" t="s">
        <v>58</v>
      </c>
      <c r="AM3" s="1140" t="s">
        <v>64</v>
      </c>
      <c r="AN3" s="1140" t="s">
        <v>59</v>
      </c>
      <c r="AO3" s="1142" t="s">
        <v>63</v>
      </c>
      <c r="AP3" s="1128" t="s">
        <v>3</v>
      </c>
      <c r="AQ3" s="1129"/>
      <c r="AR3" s="1132" t="s">
        <v>55</v>
      </c>
      <c r="AS3" s="1132" t="s">
        <v>56</v>
      </c>
      <c r="AT3" s="1132" t="s">
        <v>57</v>
      </c>
      <c r="AU3" s="1132" t="s">
        <v>58</v>
      </c>
      <c r="AV3" s="1132" t="s">
        <v>64</v>
      </c>
      <c r="AW3" s="1140" t="s">
        <v>59</v>
      </c>
      <c r="AX3" s="1142" t="s">
        <v>63</v>
      </c>
      <c r="AY3" s="1132" t="s">
        <v>55</v>
      </c>
      <c r="AZ3" s="1132" t="s">
        <v>56</v>
      </c>
      <c r="BA3" s="1132" t="s">
        <v>57</v>
      </c>
      <c r="BB3" s="1132" t="s">
        <v>58</v>
      </c>
      <c r="BC3" s="1140" t="s">
        <v>64</v>
      </c>
      <c r="BD3" s="1138" t="s">
        <v>59</v>
      </c>
      <c r="BE3" s="1142" t="s">
        <v>63</v>
      </c>
      <c r="BF3" s="1128" t="s">
        <v>21</v>
      </c>
      <c r="BG3" s="1129"/>
      <c r="BH3" s="1132" t="s">
        <v>55</v>
      </c>
      <c r="BI3" s="1132" t="s">
        <v>56</v>
      </c>
      <c r="BJ3" s="1132" t="s">
        <v>57</v>
      </c>
      <c r="BK3" s="1132" t="s">
        <v>58</v>
      </c>
      <c r="BL3" s="1132" t="s">
        <v>64</v>
      </c>
      <c r="BM3" s="1140" t="s">
        <v>59</v>
      </c>
      <c r="BN3" s="1140" t="s">
        <v>70</v>
      </c>
      <c r="BO3" s="1142" t="s">
        <v>63</v>
      </c>
      <c r="BP3" s="1132" t="s">
        <v>55</v>
      </c>
      <c r="BQ3" s="1132" t="s">
        <v>56</v>
      </c>
      <c r="BR3" s="1132" t="s">
        <v>57</v>
      </c>
      <c r="BS3" s="1132" t="s">
        <v>58</v>
      </c>
      <c r="BT3" s="1140" t="s">
        <v>64</v>
      </c>
      <c r="BU3" s="1140" t="s">
        <v>59</v>
      </c>
      <c r="BV3" s="1138" t="s">
        <v>70</v>
      </c>
      <c r="BW3" s="1142" t="s">
        <v>63</v>
      </c>
      <c r="BX3" s="1128" t="s">
        <v>22</v>
      </c>
      <c r="BY3" s="1129"/>
      <c r="BZ3" s="1132" t="s">
        <v>55</v>
      </c>
      <c r="CA3" s="1132" t="s">
        <v>56</v>
      </c>
      <c r="CB3" s="1132" t="s">
        <v>57</v>
      </c>
      <c r="CC3" s="1132" t="s">
        <v>58</v>
      </c>
      <c r="CD3" s="1132" t="s">
        <v>64</v>
      </c>
      <c r="CE3" s="1140" t="s">
        <v>59</v>
      </c>
      <c r="CF3" s="1140" t="s">
        <v>70</v>
      </c>
      <c r="CG3" s="1142" t="s">
        <v>63</v>
      </c>
      <c r="CH3" s="1132" t="s">
        <v>55</v>
      </c>
      <c r="CI3" s="1132" t="s">
        <v>56</v>
      </c>
      <c r="CJ3" s="1132" t="s">
        <v>57</v>
      </c>
      <c r="CK3" s="1132" t="s">
        <v>58</v>
      </c>
      <c r="CL3" s="1140" t="s">
        <v>64</v>
      </c>
      <c r="CM3" s="1140" t="s">
        <v>59</v>
      </c>
      <c r="CN3" s="1138" t="s">
        <v>70</v>
      </c>
      <c r="CO3" s="1142" t="s">
        <v>63</v>
      </c>
      <c r="CP3" s="1128" t="s">
        <v>23</v>
      </c>
      <c r="CQ3" s="1129"/>
      <c r="CR3" s="1132" t="s">
        <v>55</v>
      </c>
      <c r="CS3" s="1132" t="s">
        <v>56</v>
      </c>
      <c r="CT3" s="1132" t="s">
        <v>57</v>
      </c>
      <c r="CU3" s="1132" t="s">
        <v>58</v>
      </c>
      <c r="CV3" s="1132" t="s">
        <v>64</v>
      </c>
      <c r="CW3" s="1140" t="s">
        <v>59</v>
      </c>
      <c r="CX3" s="1140" t="s">
        <v>70</v>
      </c>
      <c r="CY3" s="1142" t="s">
        <v>63</v>
      </c>
      <c r="CZ3" s="1132" t="s">
        <v>55</v>
      </c>
      <c r="DA3" s="1132" t="s">
        <v>56</v>
      </c>
      <c r="DB3" s="1132" t="s">
        <v>57</v>
      </c>
      <c r="DC3" s="1132" t="s">
        <v>58</v>
      </c>
      <c r="DD3" s="1140" t="s">
        <v>64</v>
      </c>
      <c r="DE3" s="1140" t="s">
        <v>59</v>
      </c>
      <c r="DF3" s="1138" t="s">
        <v>70</v>
      </c>
      <c r="DG3" s="1142" t="s">
        <v>63</v>
      </c>
      <c r="DH3" s="1128" t="s">
        <v>24</v>
      </c>
      <c r="DI3" s="1129"/>
      <c r="DJ3" s="1132" t="s">
        <v>55</v>
      </c>
      <c r="DK3" s="1132" t="s">
        <v>56</v>
      </c>
      <c r="DL3" s="1132" t="s">
        <v>57</v>
      </c>
      <c r="DM3" s="1132" t="s">
        <v>58</v>
      </c>
      <c r="DN3" s="1132" t="s">
        <v>64</v>
      </c>
      <c r="DO3" s="1140" t="s">
        <v>59</v>
      </c>
      <c r="DP3" s="1140" t="s">
        <v>70</v>
      </c>
      <c r="DQ3" s="1142" t="s">
        <v>63</v>
      </c>
      <c r="DR3" s="1132" t="s">
        <v>55</v>
      </c>
      <c r="DS3" s="1132" t="s">
        <v>56</v>
      </c>
      <c r="DT3" s="1132" t="s">
        <v>57</v>
      </c>
      <c r="DU3" s="1132" t="s">
        <v>58</v>
      </c>
      <c r="DV3" s="1140" t="s">
        <v>64</v>
      </c>
      <c r="DW3" s="1140" t="s">
        <v>59</v>
      </c>
      <c r="DX3" s="1138" t="s">
        <v>70</v>
      </c>
      <c r="DY3" s="1142" t="s">
        <v>63</v>
      </c>
      <c r="DZ3" s="1128" t="s">
        <v>25</v>
      </c>
      <c r="EA3" s="1129"/>
      <c r="EB3" s="1132" t="s">
        <v>55</v>
      </c>
      <c r="EC3" s="1132" t="s">
        <v>56</v>
      </c>
      <c r="ED3" s="1132" t="s">
        <v>58</v>
      </c>
      <c r="EE3" s="1132" t="s">
        <v>64</v>
      </c>
      <c r="EF3" s="1140" t="s">
        <v>59</v>
      </c>
      <c r="EG3" s="1140" t="s">
        <v>70</v>
      </c>
      <c r="EH3" s="1142" t="s">
        <v>63</v>
      </c>
      <c r="EI3" s="1132" t="s">
        <v>55</v>
      </c>
      <c r="EJ3" s="1132" t="s">
        <v>56</v>
      </c>
      <c r="EK3" s="1132" t="s">
        <v>58</v>
      </c>
      <c r="EL3" s="1140" t="s">
        <v>64</v>
      </c>
      <c r="EM3" s="1140" t="s">
        <v>59</v>
      </c>
      <c r="EN3" s="1138" t="s">
        <v>70</v>
      </c>
      <c r="EO3" s="1142" t="s">
        <v>63</v>
      </c>
      <c r="EP3" s="1128" t="s">
        <v>26</v>
      </c>
      <c r="EQ3" s="1129"/>
      <c r="ER3" s="1132" t="s">
        <v>55</v>
      </c>
      <c r="ES3" s="1132" t="s">
        <v>56</v>
      </c>
      <c r="ET3" s="1140" t="s">
        <v>59</v>
      </c>
      <c r="EU3" s="1140" t="s">
        <v>70</v>
      </c>
      <c r="EV3" s="1142" t="s">
        <v>63</v>
      </c>
      <c r="EW3" s="1132" t="s">
        <v>55</v>
      </c>
      <c r="EX3" s="1132" t="s">
        <v>56</v>
      </c>
      <c r="EY3" s="1140" t="s">
        <v>59</v>
      </c>
      <c r="EZ3" s="1138" t="s">
        <v>70</v>
      </c>
      <c r="FA3" s="1142" t="s">
        <v>63</v>
      </c>
      <c r="FB3" s="1128" t="s">
        <v>46</v>
      </c>
      <c r="FC3" s="1129"/>
      <c r="FD3" s="1132" t="s">
        <v>55</v>
      </c>
      <c r="FE3" s="1140" t="s">
        <v>59</v>
      </c>
      <c r="FF3" s="1140" t="s">
        <v>70</v>
      </c>
      <c r="FG3" s="1142" t="s">
        <v>63</v>
      </c>
      <c r="FH3" s="1132" t="s">
        <v>55</v>
      </c>
      <c r="FI3" s="1140" t="s">
        <v>59</v>
      </c>
      <c r="FJ3" s="1138" t="s">
        <v>70</v>
      </c>
      <c r="FK3" s="1142" t="s">
        <v>63</v>
      </c>
      <c r="FL3" s="1128" t="s">
        <v>47</v>
      </c>
      <c r="FM3" s="1129"/>
      <c r="FN3" s="1132" t="s">
        <v>55</v>
      </c>
      <c r="FO3" s="1140" t="s">
        <v>59</v>
      </c>
      <c r="FP3" s="1140" t="s">
        <v>102</v>
      </c>
      <c r="FQ3" s="1140" t="s">
        <v>84</v>
      </c>
      <c r="FR3" s="1140" t="s">
        <v>70</v>
      </c>
      <c r="FS3" s="1142" t="s">
        <v>63</v>
      </c>
      <c r="FT3" s="1132" t="s">
        <v>55</v>
      </c>
      <c r="FU3" s="1140" t="s">
        <v>59</v>
      </c>
      <c r="FV3" s="1140" t="s">
        <v>102</v>
      </c>
      <c r="FW3" s="1140" t="s">
        <v>84</v>
      </c>
      <c r="FX3" s="1138" t="s">
        <v>70</v>
      </c>
      <c r="FY3" s="1142" t="s">
        <v>63</v>
      </c>
      <c r="FZ3" s="1128" t="s">
        <v>48</v>
      </c>
      <c r="GA3" s="1129"/>
      <c r="GB3" s="1132" t="s">
        <v>55</v>
      </c>
      <c r="GC3" s="1140" t="s">
        <v>59</v>
      </c>
      <c r="GD3" s="1140" t="s">
        <v>102</v>
      </c>
      <c r="GE3" s="1140" t="s">
        <v>84</v>
      </c>
      <c r="GF3" s="1142" t="s">
        <v>63</v>
      </c>
      <c r="GG3" s="1160" t="s">
        <v>55</v>
      </c>
      <c r="GH3" s="1132" t="s">
        <v>55</v>
      </c>
      <c r="GI3" s="1140" t="s">
        <v>59</v>
      </c>
      <c r="GJ3" s="1140" t="s">
        <v>59</v>
      </c>
      <c r="GK3" s="1140" t="s">
        <v>102</v>
      </c>
      <c r="GL3" s="1140" t="s">
        <v>84</v>
      </c>
      <c r="GM3" s="1156" t="s">
        <v>63</v>
      </c>
      <c r="GN3" s="1158" t="s">
        <v>1</v>
      </c>
      <c r="GO3" s="1129"/>
      <c r="GP3" s="1132" t="s">
        <v>199</v>
      </c>
      <c r="GQ3" s="1140" t="s">
        <v>59</v>
      </c>
      <c r="GR3" s="1140" t="s">
        <v>102</v>
      </c>
      <c r="GS3" s="1140" t="s">
        <v>84</v>
      </c>
      <c r="GT3" s="1138" t="s">
        <v>70</v>
      </c>
      <c r="GU3" s="1142" t="s">
        <v>63</v>
      </c>
      <c r="GV3" s="1132" t="s">
        <v>199</v>
      </c>
      <c r="GW3" s="1140" t="s">
        <v>59</v>
      </c>
      <c r="GX3" s="1140" t="s">
        <v>102</v>
      </c>
      <c r="GY3" s="1140" t="s">
        <v>84</v>
      </c>
      <c r="GZ3" s="1138" t="s">
        <v>70</v>
      </c>
      <c r="HA3" s="1142" t="s">
        <v>63</v>
      </c>
      <c r="HB3" s="1128" t="s">
        <v>2</v>
      </c>
      <c r="HC3" s="1129"/>
      <c r="HD3" s="1132" t="s">
        <v>199</v>
      </c>
      <c r="HE3" s="1140" t="s">
        <v>59</v>
      </c>
      <c r="HF3" s="1140" t="s">
        <v>102</v>
      </c>
      <c r="HG3" s="1140" t="s">
        <v>84</v>
      </c>
      <c r="HH3" s="1140" t="s">
        <v>70</v>
      </c>
      <c r="HI3" s="1132" t="s">
        <v>103</v>
      </c>
      <c r="HJ3" s="1132" t="s">
        <v>104</v>
      </c>
      <c r="HK3" s="1138" t="s">
        <v>105</v>
      </c>
      <c r="HL3" s="1142" t="s">
        <v>63</v>
      </c>
      <c r="HM3" s="1132" t="s">
        <v>199</v>
      </c>
      <c r="HN3" s="1140" t="s">
        <v>59</v>
      </c>
      <c r="HO3" s="1140" t="s">
        <v>102</v>
      </c>
      <c r="HP3" s="1140" t="s">
        <v>84</v>
      </c>
      <c r="HQ3" s="1140" t="s">
        <v>70</v>
      </c>
      <c r="HR3" s="1132" t="s">
        <v>103</v>
      </c>
      <c r="HS3" s="1132" t="s">
        <v>104</v>
      </c>
      <c r="HT3" s="1138" t="s">
        <v>105</v>
      </c>
      <c r="HU3" s="1142" t="s">
        <v>63</v>
      </c>
      <c r="HV3" s="1128" t="s">
        <v>80</v>
      </c>
      <c r="HW3" s="1129"/>
      <c r="HX3" s="1132" t="s">
        <v>55</v>
      </c>
      <c r="HY3" s="1140" t="s">
        <v>59</v>
      </c>
      <c r="HZ3" s="1142" t="s">
        <v>63</v>
      </c>
      <c r="IA3" s="1132" t="s">
        <v>55</v>
      </c>
      <c r="IB3" s="1140" t="s">
        <v>59</v>
      </c>
      <c r="IC3" s="1142" t="s">
        <v>63</v>
      </c>
      <c r="ID3" s="1128" t="s">
        <v>3</v>
      </c>
      <c r="IE3" s="1129"/>
      <c r="IF3" s="1132" t="s">
        <v>199</v>
      </c>
      <c r="IG3" s="1140" t="s">
        <v>59</v>
      </c>
      <c r="IH3" s="1140" t="s">
        <v>102</v>
      </c>
      <c r="II3" s="1140" t="s">
        <v>84</v>
      </c>
      <c r="IJ3" s="1140" t="s">
        <v>70</v>
      </c>
      <c r="IK3" s="1132" t="s">
        <v>103</v>
      </c>
      <c r="IL3" s="1132" t="s">
        <v>104</v>
      </c>
      <c r="IM3" s="1140" t="s">
        <v>105</v>
      </c>
      <c r="IN3" s="1138" t="s">
        <v>106</v>
      </c>
      <c r="IO3" s="1142" t="s">
        <v>63</v>
      </c>
      <c r="IP3" s="1132" t="s">
        <v>199</v>
      </c>
      <c r="IQ3" s="1140" t="s">
        <v>59</v>
      </c>
      <c r="IR3" s="1140" t="s">
        <v>102</v>
      </c>
      <c r="IS3" s="1140" t="s">
        <v>84</v>
      </c>
      <c r="IT3" s="1140" t="s">
        <v>70</v>
      </c>
      <c r="IU3" s="1132" t="s">
        <v>103</v>
      </c>
      <c r="IV3" s="1132" t="s">
        <v>104</v>
      </c>
      <c r="IW3" s="1140" t="s">
        <v>105</v>
      </c>
      <c r="IX3" s="1138" t="s">
        <v>106</v>
      </c>
      <c r="IY3" s="1142" t="s">
        <v>63</v>
      </c>
      <c r="IZ3" s="1128" t="s">
        <v>21</v>
      </c>
      <c r="JA3" s="1129"/>
      <c r="JB3" s="1132" t="s">
        <v>110</v>
      </c>
      <c r="JC3" s="1140" t="s">
        <v>59</v>
      </c>
      <c r="JD3" s="1140" t="s">
        <v>102</v>
      </c>
      <c r="JE3" s="1140" t="s">
        <v>84</v>
      </c>
      <c r="JF3" s="1140" t="s">
        <v>70</v>
      </c>
      <c r="JG3" s="1132" t="s">
        <v>103</v>
      </c>
      <c r="JH3" s="1132" t="s">
        <v>104</v>
      </c>
      <c r="JI3" s="1140" t="s">
        <v>105</v>
      </c>
      <c r="JJ3" s="1138" t="s">
        <v>106</v>
      </c>
      <c r="JK3" s="1142" t="s">
        <v>63</v>
      </c>
      <c r="JL3" s="1132" t="s">
        <v>110</v>
      </c>
      <c r="JM3" s="1140" t="s">
        <v>59</v>
      </c>
      <c r="JN3" s="1140" t="s">
        <v>102</v>
      </c>
      <c r="JO3" s="1140" t="s">
        <v>84</v>
      </c>
      <c r="JP3" s="1140" t="s">
        <v>70</v>
      </c>
      <c r="JQ3" s="1132" t="s">
        <v>103</v>
      </c>
      <c r="JR3" s="1132" t="s">
        <v>104</v>
      </c>
      <c r="JS3" s="1140" t="s">
        <v>105</v>
      </c>
      <c r="JT3" s="1138" t="s">
        <v>106</v>
      </c>
      <c r="JU3" s="1142" t="s">
        <v>63</v>
      </c>
      <c r="JV3" s="1128" t="s">
        <v>22</v>
      </c>
      <c r="JW3" s="1129"/>
      <c r="JX3" s="1132" t="s">
        <v>110</v>
      </c>
      <c r="JY3" s="1132" t="s">
        <v>111</v>
      </c>
      <c r="JZ3" s="1140" t="s">
        <v>102</v>
      </c>
      <c r="KA3" s="1140" t="s">
        <v>84</v>
      </c>
      <c r="KB3" s="1140" t="s">
        <v>70</v>
      </c>
      <c r="KC3" s="1132" t="s">
        <v>103</v>
      </c>
      <c r="KD3" s="1132" t="s">
        <v>104</v>
      </c>
      <c r="KE3" s="1140" t="s">
        <v>105</v>
      </c>
      <c r="KF3" s="1138" t="s">
        <v>106</v>
      </c>
      <c r="KG3" s="1142" t="s">
        <v>63</v>
      </c>
      <c r="KH3" s="1132" t="s">
        <v>110</v>
      </c>
      <c r="KI3" s="1132" t="s">
        <v>111</v>
      </c>
      <c r="KJ3" s="1140" t="s">
        <v>102</v>
      </c>
      <c r="KK3" s="1140" t="s">
        <v>84</v>
      </c>
      <c r="KL3" s="1140" t="s">
        <v>70</v>
      </c>
      <c r="KM3" s="1132" t="s">
        <v>103</v>
      </c>
      <c r="KN3" s="1132" t="s">
        <v>104</v>
      </c>
      <c r="KO3" s="1140" t="s">
        <v>105</v>
      </c>
      <c r="KP3" s="1138" t="s">
        <v>106</v>
      </c>
      <c r="KQ3" s="1142" t="s">
        <v>63</v>
      </c>
      <c r="KR3" s="1128" t="s">
        <v>23</v>
      </c>
      <c r="KS3" s="1129"/>
      <c r="KT3" s="1132" t="s">
        <v>111</v>
      </c>
      <c r="KU3" s="1140" t="s">
        <v>102</v>
      </c>
      <c r="KV3" s="1140" t="s">
        <v>84</v>
      </c>
      <c r="KW3" s="1140" t="s">
        <v>70</v>
      </c>
      <c r="KX3" s="1132" t="s">
        <v>103</v>
      </c>
      <c r="KY3" s="1132" t="s">
        <v>104</v>
      </c>
      <c r="KZ3" s="1140" t="s">
        <v>105</v>
      </c>
      <c r="LA3" s="1138" t="s">
        <v>106</v>
      </c>
      <c r="LB3" s="1142" t="s">
        <v>63</v>
      </c>
      <c r="LC3" s="1132" t="s">
        <v>111</v>
      </c>
      <c r="LD3" s="1140" t="s">
        <v>102</v>
      </c>
      <c r="LE3" s="1140" t="s">
        <v>84</v>
      </c>
      <c r="LF3" s="1140" t="s">
        <v>70</v>
      </c>
      <c r="LG3" s="1132" t="s">
        <v>103</v>
      </c>
      <c r="LH3" s="1132" t="s">
        <v>104</v>
      </c>
      <c r="LI3" s="1140" t="s">
        <v>105</v>
      </c>
      <c r="LJ3" s="1138" t="s">
        <v>106</v>
      </c>
      <c r="LK3" s="1142" t="s">
        <v>63</v>
      </c>
      <c r="LL3" s="1128" t="s">
        <v>24</v>
      </c>
      <c r="LM3" s="1129"/>
      <c r="LN3" s="1140" t="s">
        <v>102</v>
      </c>
      <c r="LO3" s="1140" t="s">
        <v>84</v>
      </c>
      <c r="LP3" s="1140" t="s">
        <v>70</v>
      </c>
      <c r="LQ3" s="1132" t="s">
        <v>103</v>
      </c>
      <c r="LR3" s="1132" t="s">
        <v>104</v>
      </c>
      <c r="LS3" s="1140" t="s">
        <v>105</v>
      </c>
      <c r="LT3" s="1138" t="s">
        <v>106</v>
      </c>
      <c r="LU3" s="1142" t="s">
        <v>63</v>
      </c>
      <c r="LV3" s="1140" t="s">
        <v>102</v>
      </c>
      <c r="LW3" s="1140" t="s">
        <v>84</v>
      </c>
      <c r="LX3" s="1140" t="s">
        <v>70</v>
      </c>
      <c r="LY3" s="1132" t="s">
        <v>103</v>
      </c>
      <c r="LZ3" s="1132" t="s">
        <v>104</v>
      </c>
      <c r="MA3" s="1140" t="s">
        <v>105</v>
      </c>
      <c r="MB3" s="1138" t="s">
        <v>106</v>
      </c>
      <c r="MC3" s="1142" t="s">
        <v>63</v>
      </c>
      <c r="MD3" s="1128" t="s">
        <v>25</v>
      </c>
      <c r="ME3" s="1129"/>
      <c r="MF3" s="1140" t="s">
        <v>102</v>
      </c>
      <c r="MG3" s="1140" t="s">
        <v>70</v>
      </c>
      <c r="MH3" s="1132" t="s">
        <v>103</v>
      </c>
      <c r="MI3" s="1132" t="s">
        <v>104</v>
      </c>
      <c r="MJ3" s="1140" t="s">
        <v>105</v>
      </c>
      <c r="MK3" s="1140" t="s">
        <v>253</v>
      </c>
      <c r="ML3" s="1138" t="s">
        <v>106</v>
      </c>
      <c r="MM3" s="1142" t="s">
        <v>63</v>
      </c>
      <c r="MN3" s="1140" t="s">
        <v>102</v>
      </c>
      <c r="MO3" s="1140" t="s">
        <v>70</v>
      </c>
      <c r="MP3" s="1132" t="s">
        <v>103</v>
      </c>
      <c r="MQ3" s="1132" t="s">
        <v>104</v>
      </c>
      <c r="MR3" s="1140" t="s">
        <v>105</v>
      </c>
      <c r="MS3" s="1140" t="s">
        <v>253</v>
      </c>
      <c r="MT3" s="1138" t="s">
        <v>106</v>
      </c>
      <c r="MU3" s="1142" t="s">
        <v>63</v>
      </c>
      <c r="MV3" s="1144" t="s">
        <v>26</v>
      </c>
      <c r="MW3" s="1145"/>
      <c r="MX3" s="1140" t="s">
        <v>200</v>
      </c>
      <c r="MY3" s="1140" t="s">
        <v>70</v>
      </c>
      <c r="MZ3" s="1132" t="s">
        <v>103</v>
      </c>
      <c r="NA3" s="1132" t="s">
        <v>104</v>
      </c>
      <c r="NB3" s="1140" t="s">
        <v>105</v>
      </c>
      <c r="NC3" s="1140" t="s">
        <v>253</v>
      </c>
      <c r="ND3" s="1138" t="s">
        <v>106</v>
      </c>
      <c r="NE3" s="1142" t="s">
        <v>63</v>
      </c>
      <c r="NF3" s="1140" t="s">
        <v>200</v>
      </c>
      <c r="NG3" s="1140" t="s">
        <v>70</v>
      </c>
      <c r="NH3" s="1132" t="s">
        <v>103</v>
      </c>
      <c r="NI3" s="1132" t="s">
        <v>104</v>
      </c>
      <c r="NJ3" s="1140" t="s">
        <v>105</v>
      </c>
      <c r="NK3" s="1140" t="s">
        <v>253</v>
      </c>
      <c r="NL3" s="1138" t="s">
        <v>106</v>
      </c>
      <c r="NM3" s="1142" t="s">
        <v>63</v>
      </c>
      <c r="NN3" s="1144" t="s">
        <v>46</v>
      </c>
      <c r="NO3" s="1145"/>
      <c r="NP3" s="1140" t="s">
        <v>200</v>
      </c>
      <c r="NQ3" s="1132" t="s">
        <v>103</v>
      </c>
      <c r="NR3" s="1140" t="s">
        <v>105</v>
      </c>
      <c r="NS3" s="1140" t="s">
        <v>253</v>
      </c>
      <c r="NT3" s="1138" t="s">
        <v>106</v>
      </c>
      <c r="NU3" s="1142" t="s">
        <v>63</v>
      </c>
      <c r="NV3" s="1140" t="s">
        <v>200</v>
      </c>
      <c r="NW3" s="1132" t="s">
        <v>103</v>
      </c>
      <c r="NX3" s="1140" t="s">
        <v>105</v>
      </c>
      <c r="NY3" s="1140" t="s">
        <v>253</v>
      </c>
      <c r="NZ3" s="1138" t="s">
        <v>106</v>
      </c>
      <c r="OA3" s="1142" t="s">
        <v>63</v>
      </c>
      <c r="OB3" s="1148" t="s">
        <v>254</v>
      </c>
      <c r="OC3" s="1149"/>
      <c r="OD3" s="1140" t="s">
        <v>200</v>
      </c>
      <c r="OE3" s="1132" t="s">
        <v>103</v>
      </c>
      <c r="OF3" s="1140" t="s">
        <v>105</v>
      </c>
      <c r="OG3" s="1140" t="s">
        <v>253</v>
      </c>
      <c r="OH3" s="1138" t="s">
        <v>106</v>
      </c>
      <c r="OI3" s="1142" t="s">
        <v>63</v>
      </c>
      <c r="OJ3" s="1140" t="s">
        <v>200</v>
      </c>
      <c r="OK3" s="1132" t="s">
        <v>103</v>
      </c>
      <c r="OL3" s="1140" t="s">
        <v>105</v>
      </c>
      <c r="OM3" s="1140" t="s">
        <v>253</v>
      </c>
      <c r="ON3" s="1138" t="s">
        <v>106</v>
      </c>
      <c r="OO3" s="1142" t="s">
        <v>63</v>
      </c>
      <c r="OP3" s="1148" t="s">
        <v>255</v>
      </c>
      <c r="OQ3" s="1149"/>
      <c r="OR3" s="1140" t="s">
        <v>200</v>
      </c>
      <c r="OS3" s="1132" t="s">
        <v>103</v>
      </c>
      <c r="OT3" s="1140" t="s">
        <v>105</v>
      </c>
      <c r="OU3" s="1140" t="s">
        <v>253</v>
      </c>
      <c r="OV3" s="1138" t="s">
        <v>106</v>
      </c>
      <c r="OW3" s="1142" t="s">
        <v>63</v>
      </c>
      <c r="OX3" s="1140" t="s">
        <v>200</v>
      </c>
      <c r="OY3" s="1132" t="s">
        <v>103</v>
      </c>
      <c r="OZ3" s="1140" t="s">
        <v>105</v>
      </c>
      <c r="PA3" s="1140" t="s">
        <v>253</v>
      </c>
      <c r="PB3" s="1138" t="s">
        <v>106</v>
      </c>
      <c r="PC3" s="1142" t="s">
        <v>63</v>
      </c>
      <c r="PD3" s="1148" t="s">
        <v>432</v>
      </c>
      <c r="PE3" s="1149"/>
      <c r="PF3" s="1140" t="s">
        <v>200</v>
      </c>
      <c r="PG3" s="1132" t="s">
        <v>433</v>
      </c>
      <c r="PH3" s="1140" t="s">
        <v>105</v>
      </c>
      <c r="PI3" s="1140" t="s">
        <v>253</v>
      </c>
      <c r="PJ3" s="1138" t="s">
        <v>106</v>
      </c>
      <c r="PK3" s="1142" t="s">
        <v>63</v>
      </c>
      <c r="PL3" s="1140" t="s">
        <v>200</v>
      </c>
      <c r="PM3" s="1132" t="s">
        <v>433</v>
      </c>
      <c r="PN3" s="1140" t="s">
        <v>105</v>
      </c>
      <c r="PO3" s="1140" t="s">
        <v>253</v>
      </c>
      <c r="PP3" s="1138" t="s">
        <v>106</v>
      </c>
      <c r="PQ3" s="1142" t="s">
        <v>63</v>
      </c>
    </row>
    <row r="4" spans="2:435" s="8" customFormat="1" ht="67.5" customHeight="1" thickBot="1" x14ac:dyDescent="0.25">
      <c r="B4" s="1135"/>
      <c r="C4" s="1137"/>
      <c r="D4" s="1130"/>
      <c r="E4" s="1131"/>
      <c r="F4" s="1163"/>
      <c r="G4" s="1133"/>
      <c r="H4" s="1133"/>
      <c r="I4" s="1133"/>
      <c r="J4" s="1133"/>
      <c r="K4" s="1133"/>
      <c r="L4" s="1141"/>
      <c r="M4" s="1143"/>
      <c r="N4" s="1163"/>
      <c r="O4" s="1133"/>
      <c r="P4" s="1133"/>
      <c r="Q4" s="1133"/>
      <c r="R4" s="1133"/>
      <c r="S4" s="1133"/>
      <c r="T4" s="1141"/>
      <c r="U4" s="1143"/>
      <c r="V4" s="1130"/>
      <c r="W4" s="1131"/>
      <c r="X4" s="1163"/>
      <c r="Y4" s="1133"/>
      <c r="Z4" s="1133"/>
      <c r="AA4" s="1133"/>
      <c r="AB4" s="1133"/>
      <c r="AC4" s="1133"/>
      <c r="AD4" s="1133"/>
      <c r="AE4" s="1141"/>
      <c r="AF4" s="1143"/>
      <c r="AG4" s="1163"/>
      <c r="AH4" s="1133"/>
      <c r="AI4" s="1133"/>
      <c r="AJ4" s="1133"/>
      <c r="AK4" s="1133"/>
      <c r="AL4" s="1133"/>
      <c r="AM4" s="1141"/>
      <c r="AN4" s="1141"/>
      <c r="AO4" s="1143"/>
      <c r="AP4" s="1130"/>
      <c r="AQ4" s="1131"/>
      <c r="AR4" s="1133"/>
      <c r="AS4" s="1133"/>
      <c r="AT4" s="1133"/>
      <c r="AU4" s="1133"/>
      <c r="AV4" s="1133"/>
      <c r="AW4" s="1141"/>
      <c r="AX4" s="1143"/>
      <c r="AY4" s="1133"/>
      <c r="AZ4" s="1133"/>
      <c r="BA4" s="1133"/>
      <c r="BB4" s="1133"/>
      <c r="BC4" s="1141"/>
      <c r="BD4" s="1139"/>
      <c r="BE4" s="1143"/>
      <c r="BF4" s="1130"/>
      <c r="BG4" s="1131"/>
      <c r="BH4" s="1133"/>
      <c r="BI4" s="1133"/>
      <c r="BJ4" s="1133"/>
      <c r="BK4" s="1133"/>
      <c r="BL4" s="1133"/>
      <c r="BM4" s="1141"/>
      <c r="BN4" s="1141"/>
      <c r="BO4" s="1143"/>
      <c r="BP4" s="1133"/>
      <c r="BQ4" s="1133"/>
      <c r="BR4" s="1133"/>
      <c r="BS4" s="1133"/>
      <c r="BT4" s="1141"/>
      <c r="BU4" s="1141"/>
      <c r="BV4" s="1139"/>
      <c r="BW4" s="1143"/>
      <c r="BX4" s="1130"/>
      <c r="BY4" s="1131"/>
      <c r="BZ4" s="1133"/>
      <c r="CA4" s="1133"/>
      <c r="CB4" s="1133"/>
      <c r="CC4" s="1133"/>
      <c r="CD4" s="1133"/>
      <c r="CE4" s="1141"/>
      <c r="CF4" s="1141"/>
      <c r="CG4" s="1143"/>
      <c r="CH4" s="1133"/>
      <c r="CI4" s="1133"/>
      <c r="CJ4" s="1133"/>
      <c r="CK4" s="1133"/>
      <c r="CL4" s="1141"/>
      <c r="CM4" s="1141"/>
      <c r="CN4" s="1139"/>
      <c r="CO4" s="1143"/>
      <c r="CP4" s="1130"/>
      <c r="CQ4" s="1131"/>
      <c r="CR4" s="1133"/>
      <c r="CS4" s="1133"/>
      <c r="CT4" s="1133"/>
      <c r="CU4" s="1133"/>
      <c r="CV4" s="1133"/>
      <c r="CW4" s="1141"/>
      <c r="CX4" s="1141"/>
      <c r="CY4" s="1143"/>
      <c r="CZ4" s="1133"/>
      <c r="DA4" s="1133"/>
      <c r="DB4" s="1133"/>
      <c r="DC4" s="1133"/>
      <c r="DD4" s="1141"/>
      <c r="DE4" s="1141"/>
      <c r="DF4" s="1139"/>
      <c r="DG4" s="1143"/>
      <c r="DH4" s="1130"/>
      <c r="DI4" s="1131"/>
      <c r="DJ4" s="1133"/>
      <c r="DK4" s="1133"/>
      <c r="DL4" s="1133"/>
      <c r="DM4" s="1133"/>
      <c r="DN4" s="1133"/>
      <c r="DO4" s="1141"/>
      <c r="DP4" s="1141"/>
      <c r="DQ4" s="1143"/>
      <c r="DR4" s="1133"/>
      <c r="DS4" s="1133"/>
      <c r="DT4" s="1133"/>
      <c r="DU4" s="1133"/>
      <c r="DV4" s="1141"/>
      <c r="DW4" s="1141"/>
      <c r="DX4" s="1139"/>
      <c r="DY4" s="1143"/>
      <c r="DZ4" s="1130"/>
      <c r="EA4" s="1131"/>
      <c r="EB4" s="1133"/>
      <c r="EC4" s="1133"/>
      <c r="ED4" s="1133"/>
      <c r="EE4" s="1133"/>
      <c r="EF4" s="1141"/>
      <c r="EG4" s="1141"/>
      <c r="EH4" s="1143"/>
      <c r="EI4" s="1133"/>
      <c r="EJ4" s="1133"/>
      <c r="EK4" s="1133"/>
      <c r="EL4" s="1141"/>
      <c r="EM4" s="1141"/>
      <c r="EN4" s="1139"/>
      <c r="EO4" s="1143"/>
      <c r="EP4" s="1130"/>
      <c r="EQ4" s="1131"/>
      <c r="ER4" s="1133"/>
      <c r="ES4" s="1133"/>
      <c r="ET4" s="1141"/>
      <c r="EU4" s="1141"/>
      <c r="EV4" s="1143"/>
      <c r="EW4" s="1133"/>
      <c r="EX4" s="1133"/>
      <c r="EY4" s="1141"/>
      <c r="EZ4" s="1139"/>
      <c r="FA4" s="1143"/>
      <c r="FB4" s="1130"/>
      <c r="FC4" s="1131"/>
      <c r="FD4" s="1133"/>
      <c r="FE4" s="1141"/>
      <c r="FF4" s="1141"/>
      <c r="FG4" s="1143"/>
      <c r="FH4" s="1133"/>
      <c r="FI4" s="1141"/>
      <c r="FJ4" s="1139"/>
      <c r="FK4" s="1143"/>
      <c r="FL4" s="1130"/>
      <c r="FM4" s="1131"/>
      <c r="FN4" s="1133"/>
      <c r="FO4" s="1141"/>
      <c r="FP4" s="1141"/>
      <c r="FQ4" s="1141"/>
      <c r="FR4" s="1141"/>
      <c r="FS4" s="1143"/>
      <c r="FT4" s="1133"/>
      <c r="FU4" s="1141"/>
      <c r="FV4" s="1141"/>
      <c r="FW4" s="1141"/>
      <c r="FX4" s="1139"/>
      <c r="FY4" s="1143"/>
      <c r="FZ4" s="1130"/>
      <c r="GA4" s="1131"/>
      <c r="GB4" s="1133"/>
      <c r="GC4" s="1141"/>
      <c r="GD4" s="1141"/>
      <c r="GE4" s="1141"/>
      <c r="GF4" s="1143"/>
      <c r="GG4" s="1161"/>
      <c r="GH4" s="1133"/>
      <c r="GI4" s="1141"/>
      <c r="GJ4" s="1141"/>
      <c r="GK4" s="1141"/>
      <c r="GL4" s="1141"/>
      <c r="GM4" s="1157"/>
      <c r="GN4" s="1159"/>
      <c r="GO4" s="1131"/>
      <c r="GP4" s="1133"/>
      <c r="GQ4" s="1141"/>
      <c r="GR4" s="1141"/>
      <c r="GS4" s="1141"/>
      <c r="GT4" s="1139"/>
      <c r="GU4" s="1143"/>
      <c r="GV4" s="1133"/>
      <c r="GW4" s="1141"/>
      <c r="GX4" s="1141"/>
      <c r="GY4" s="1141"/>
      <c r="GZ4" s="1139"/>
      <c r="HA4" s="1143"/>
      <c r="HB4" s="1130"/>
      <c r="HC4" s="1131"/>
      <c r="HD4" s="1133"/>
      <c r="HE4" s="1141"/>
      <c r="HF4" s="1141"/>
      <c r="HG4" s="1141"/>
      <c r="HH4" s="1141"/>
      <c r="HI4" s="1133"/>
      <c r="HJ4" s="1133"/>
      <c r="HK4" s="1139"/>
      <c r="HL4" s="1143"/>
      <c r="HM4" s="1133"/>
      <c r="HN4" s="1141"/>
      <c r="HO4" s="1141"/>
      <c r="HP4" s="1141"/>
      <c r="HQ4" s="1141"/>
      <c r="HR4" s="1133"/>
      <c r="HS4" s="1133"/>
      <c r="HT4" s="1139"/>
      <c r="HU4" s="1143"/>
      <c r="HV4" s="1130"/>
      <c r="HW4" s="1131"/>
      <c r="HX4" s="1133"/>
      <c r="HY4" s="1141"/>
      <c r="HZ4" s="1143"/>
      <c r="IA4" s="1133"/>
      <c r="IB4" s="1141"/>
      <c r="IC4" s="1143"/>
      <c r="ID4" s="1130"/>
      <c r="IE4" s="1131"/>
      <c r="IF4" s="1133"/>
      <c r="IG4" s="1141"/>
      <c r="IH4" s="1141"/>
      <c r="II4" s="1141"/>
      <c r="IJ4" s="1141"/>
      <c r="IK4" s="1133"/>
      <c r="IL4" s="1133"/>
      <c r="IM4" s="1141"/>
      <c r="IN4" s="1139"/>
      <c r="IO4" s="1143"/>
      <c r="IP4" s="1133"/>
      <c r="IQ4" s="1141"/>
      <c r="IR4" s="1141"/>
      <c r="IS4" s="1141"/>
      <c r="IT4" s="1141"/>
      <c r="IU4" s="1133"/>
      <c r="IV4" s="1133"/>
      <c r="IW4" s="1141"/>
      <c r="IX4" s="1139"/>
      <c r="IY4" s="1143"/>
      <c r="IZ4" s="1130"/>
      <c r="JA4" s="1131"/>
      <c r="JB4" s="1133"/>
      <c r="JC4" s="1141"/>
      <c r="JD4" s="1141"/>
      <c r="JE4" s="1141"/>
      <c r="JF4" s="1141"/>
      <c r="JG4" s="1133"/>
      <c r="JH4" s="1133"/>
      <c r="JI4" s="1141"/>
      <c r="JJ4" s="1139"/>
      <c r="JK4" s="1143"/>
      <c r="JL4" s="1133"/>
      <c r="JM4" s="1141"/>
      <c r="JN4" s="1141"/>
      <c r="JO4" s="1141"/>
      <c r="JP4" s="1141"/>
      <c r="JQ4" s="1133"/>
      <c r="JR4" s="1133"/>
      <c r="JS4" s="1141"/>
      <c r="JT4" s="1139"/>
      <c r="JU4" s="1143"/>
      <c r="JV4" s="1130"/>
      <c r="JW4" s="1131"/>
      <c r="JX4" s="1133"/>
      <c r="JY4" s="1133"/>
      <c r="JZ4" s="1141"/>
      <c r="KA4" s="1141"/>
      <c r="KB4" s="1141"/>
      <c r="KC4" s="1133"/>
      <c r="KD4" s="1133"/>
      <c r="KE4" s="1141"/>
      <c r="KF4" s="1139"/>
      <c r="KG4" s="1143"/>
      <c r="KH4" s="1133"/>
      <c r="KI4" s="1133"/>
      <c r="KJ4" s="1141"/>
      <c r="KK4" s="1141"/>
      <c r="KL4" s="1141"/>
      <c r="KM4" s="1133"/>
      <c r="KN4" s="1133"/>
      <c r="KO4" s="1141"/>
      <c r="KP4" s="1139"/>
      <c r="KQ4" s="1143"/>
      <c r="KR4" s="1130"/>
      <c r="KS4" s="1131"/>
      <c r="KT4" s="1133"/>
      <c r="KU4" s="1141"/>
      <c r="KV4" s="1141"/>
      <c r="KW4" s="1141"/>
      <c r="KX4" s="1133"/>
      <c r="KY4" s="1133"/>
      <c r="KZ4" s="1141"/>
      <c r="LA4" s="1139"/>
      <c r="LB4" s="1143"/>
      <c r="LC4" s="1133"/>
      <c r="LD4" s="1141"/>
      <c r="LE4" s="1141"/>
      <c r="LF4" s="1141"/>
      <c r="LG4" s="1133"/>
      <c r="LH4" s="1133"/>
      <c r="LI4" s="1141"/>
      <c r="LJ4" s="1139"/>
      <c r="LK4" s="1143"/>
      <c r="LL4" s="1130"/>
      <c r="LM4" s="1131"/>
      <c r="LN4" s="1141"/>
      <c r="LO4" s="1141"/>
      <c r="LP4" s="1141"/>
      <c r="LQ4" s="1133"/>
      <c r="LR4" s="1133"/>
      <c r="LS4" s="1141"/>
      <c r="LT4" s="1139"/>
      <c r="LU4" s="1143"/>
      <c r="LV4" s="1141"/>
      <c r="LW4" s="1141"/>
      <c r="LX4" s="1141"/>
      <c r="LY4" s="1133"/>
      <c r="LZ4" s="1133"/>
      <c r="MA4" s="1141"/>
      <c r="MB4" s="1139"/>
      <c r="MC4" s="1143"/>
      <c r="MD4" s="1130"/>
      <c r="ME4" s="1131"/>
      <c r="MF4" s="1141"/>
      <c r="MG4" s="1141"/>
      <c r="MH4" s="1133"/>
      <c r="MI4" s="1133"/>
      <c r="MJ4" s="1141"/>
      <c r="MK4" s="1141"/>
      <c r="ML4" s="1139"/>
      <c r="MM4" s="1143"/>
      <c r="MN4" s="1141"/>
      <c r="MO4" s="1141"/>
      <c r="MP4" s="1133"/>
      <c r="MQ4" s="1133"/>
      <c r="MR4" s="1141"/>
      <c r="MS4" s="1141"/>
      <c r="MT4" s="1139"/>
      <c r="MU4" s="1143"/>
      <c r="MV4" s="1146"/>
      <c r="MW4" s="1147"/>
      <c r="MX4" s="1141"/>
      <c r="MY4" s="1141"/>
      <c r="MZ4" s="1133"/>
      <c r="NA4" s="1133"/>
      <c r="NB4" s="1141"/>
      <c r="NC4" s="1141"/>
      <c r="ND4" s="1139"/>
      <c r="NE4" s="1143"/>
      <c r="NF4" s="1141"/>
      <c r="NG4" s="1141"/>
      <c r="NH4" s="1133"/>
      <c r="NI4" s="1133"/>
      <c r="NJ4" s="1141"/>
      <c r="NK4" s="1141"/>
      <c r="NL4" s="1139"/>
      <c r="NM4" s="1143"/>
      <c r="NN4" s="1146"/>
      <c r="NO4" s="1147"/>
      <c r="NP4" s="1141"/>
      <c r="NQ4" s="1133"/>
      <c r="NR4" s="1141"/>
      <c r="NS4" s="1141"/>
      <c r="NT4" s="1139"/>
      <c r="NU4" s="1143"/>
      <c r="NV4" s="1141"/>
      <c r="NW4" s="1133"/>
      <c r="NX4" s="1141"/>
      <c r="NY4" s="1141"/>
      <c r="NZ4" s="1139"/>
      <c r="OA4" s="1143"/>
      <c r="OB4" s="1150"/>
      <c r="OC4" s="1151"/>
      <c r="OD4" s="1141"/>
      <c r="OE4" s="1133"/>
      <c r="OF4" s="1141"/>
      <c r="OG4" s="1141"/>
      <c r="OH4" s="1139"/>
      <c r="OI4" s="1143"/>
      <c r="OJ4" s="1141"/>
      <c r="OK4" s="1133"/>
      <c r="OL4" s="1141"/>
      <c r="OM4" s="1141"/>
      <c r="ON4" s="1139"/>
      <c r="OO4" s="1143"/>
      <c r="OP4" s="1150"/>
      <c r="OQ4" s="1151"/>
      <c r="OR4" s="1141"/>
      <c r="OS4" s="1133"/>
      <c r="OT4" s="1141"/>
      <c r="OU4" s="1141"/>
      <c r="OV4" s="1139"/>
      <c r="OW4" s="1143"/>
      <c r="OX4" s="1141"/>
      <c r="OY4" s="1133"/>
      <c r="OZ4" s="1141"/>
      <c r="PA4" s="1141"/>
      <c r="PB4" s="1139"/>
      <c r="PC4" s="1143"/>
      <c r="PD4" s="1150"/>
      <c r="PE4" s="1151"/>
      <c r="PF4" s="1141"/>
      <c r="PG4" s="1133"/>
      <c r="PH4" s="1141"/>
      <c r="PI4" s="1141"/>
      <c r="PJ4" s="1139"/>
      <c r="PK4" s="1143"/>
      <c r="PL4" s="1141"/>
      <c r="PM4" s="1133"/>
      <c r="PN4" s="1141"/>
      <c r="PO4" s="1141"/>
      <c r="PP4" s="1139"/>
      <c r="PQ4" s="1143"/>
    </row>
    <row r="5" spans="2:435" x14ac:dyDescent="0.2">
      <c r="B5" s="24">
        <v>1</v>
      </c>
      <c r="C5" s="25" t="s">
        <v>4</v>
      </c>
      <c r="D5" s="41">
        <v>25000</v>
      </c>
      <c r="E5" s="43">
        <v>1</v>
      </c>
      <c r="F5" s="35">
        <v>1</v>
      </c>
      <c r="G5" s="33"/>
      <c r="H5" s="33"/>
      <c r="I5" s="33"/>
      <c r="J5" s="33"/>
      <c r="K5" s="33"/>
      <c r="L5" s="36"/>
      <c r="M5" s="61">
        <f>E5-F5-G5-H5-I5-J5-K5-L5</f>
        <v>0</v>
      </c>
      <c r="N5" s="35">
        <f t="shared" ref="N5:T38" si="0">IF($E5&lt;&gt;0,F5*$D5/$E5,0)</f>
        <v>25000</v>
      </c>
      <c r="O5" s="33">
        <f t="shared" si="0"/>
        <v>0</v>
      </c>
      <c r="P5" s="33">
        <f t="shared" si="0"/>
        <v>0</v>
      </c>
      <c r="Q5" s="33">
        <f t="shared" si="0"/>
        <v>0</v>
      </c>
      <c r="R5" s="33">
        <f t="shared" si="0"/>
        <v>0</v>
      </c>
      <c r="S5" s="33">
        <f t="shared" si="0"/>
        <v>0</v>
      </c>
      <c r="T5" s="36">
        <f t="shared" si="0"/>
        <v>0</v>
      </c>
      <c r="U5" s="61">
        <f>D5-N5-O5-P5-Q5-R5-S5-T5</f>
        <v>0</v>
      </c>
      <c r="V5" s="41">
        <v>25000</v>
      </c>
      <c r="W5" s="43">
        <v>1</v>
      </c>
      <c r="X5" s="35">
        <v>1</v>
      </c>
      <c r="Y5" s="33"/>
      <c r="Z5" s="33"/>
      <c r="AA5" s="33"/>
      <c r="AB5" s="33"/>
      <c r="AC5" s="33"/>
      <c r="AD5" s="36"/>
      <c r="AE5" s="36"/>
      <c r="AF5" s="61">
        <f>W5-X5-Y5-Z5-AA5-AB5-AC5-AD5-AE5</f>
        <v>0</v>
      </c>
      <c r="AG5" s="35">
        <f>IF($W5&lt;&gt;0,X5*$V5/$W5,0)</f>
        <v>25000</v>
      </c>
      <c r="AH5" s="35">
        <f t="shared" ref="AH5:AN29" si="1">IF($W5&lt;&gt;0,Y5*$V5/$W5,0)</f>
        <v>0</v>
      </c>
      <c r="AI5" s="35">
        <f t="shared" si="1"/>
        <v>0</v>
      </c>
      <c r="AJ5" s="35">
        <f t="shared" si="1"/>
        <v>0</v>
      </c>
      <c r="AK5" s="35">
        <f t="shared" si="1"/>
        <v>0</v>
      </c>
      <c r="AL5" s="35">
        <f t="shared" si="1"/>
        <v>0</v>
      </c>
      <c r="AM5" s="35">
        <f t="shared" si="1"/>
        <v>0</v>
      </c>
      <c r="AN5" s="35">
        <f>IF($W5&lt;&gt;0,AE5*$V5/$W5,0)</f>
        <v>0</v>
      </c>
      <c r="AO5" s="62">
        <f>V5-AG5-AH5-AI5-AJ5-AK5-AL5-AM5-AN5</f>
        <v>0</v>
      </c>
      <c r="AP5" s="41">
        <v>25000</v>
      </c>
      <c r="AQ5" s="43">
        <v>1</v>
      </c>
      <c r="AR5" s="33"/>
      <c r="AS5" s="33"/>
      <c r="AT5" s="33"/>
      <c r="AU5" s="33"/>
      <c r="AV5" s="36">
        <v>1</v>
      </c>
      <c r="AW5" s="36"/>
      <c r="AX5" s="61">
        <f>AQ5-AR5-AS5-AT5-AU5-AV5-AW5</f>
        <v>0</v>
      </c>
      <c r="AY5" s="35">
        <f t="shared" ref="AY5:BD29" si="2">IF($AQ5&lt;&gt;0,AR5*$AP5/$AQ5,0)</f>
        <v>0</v>
      </c>
      <c r="AZ5" s="35">
        <f t="shared" si="2"/>
        <v>0</v>
      </c>
      <c r="BA5" s="35">
        <f t="shared" si="2"/>
        <v>0</v>
      </c>
      <c r="BB5" s="35">
        <f t="shared" si="2"/>
        <v>0</v>
      </c>
      <c r="BC5" s="35">
        <f t="shared" si="2"/>
        <v>25000</v>
      </c>
      <c r="BD5" s="34">
        <f t="shared" si="2"/>
        <v>0</v>
      </c>
      <c r="BE5" s="59">
        <f>AP5-AY5-AZ5-BA5-BB5-BC5-BD5</f>
        <v>0</v>
      </c>
      <c r="BF5" s="41">
        <v>25000</v>
      </c>
      <c r="BG5" s="43">
        <v>1</v>
      </c>
      <c r="BH5" s="33"/>
      <c r="BI5" s="33">
        <v>0.2</v>
      </c>
      <c r="BJ5" s="33"/>
      <c r="BK5" s="33"/>
      <c r="BL5" s="36"/>
      <c r="BM5" s="36"/>
      <c r="BN5" s="36">
        <v>0.8</v>
      </c>
      <c r="BO5" s="61">
        <f t="shared" ref="BO5:BO63" si="3">BG5-BH5-BI5-BJ5-BK5-BL5-BM5-BN5</f>
        <v>0</v>
      </c>
      <c r="BP5" s="63">
        <f t="shared" ref="BP5:BV29" si="4">IF($BG5&lt;&gt;0,BH5*$BF5/$BG5,0)</f>
        <v>0</v>
      </c>
      <c r="BQ5" s="44">
        <f t="shared" si="4"/>
        <v>5000</v>
      </c>
      <c r="BR5" s="44">
        <f t="shared" si="4"/>
        <v>0</v>
      </c>
      <c r="BS5" s="44">
        <f t="shared" si="4"/>
        <v>0</v>
      </c>
      <c r="BT5" s="44">
        <f t="shared" si="4"/>
        <v>0</v>
      </c>
      <c r="BU5" s="44">
        <f t="shared" si="4"/>
        <v>0</v>
      </c>
      <c r="BV5" s="64">
        <f t="shared" si="4"/>
        <v>20000</v>
      </c>
      <c r="BW5" s="59">
        <f>BF5-BP5-BQ5-BR5-BS5-BT5-BU5-BV5</f>
        <v>0</v>
      </c>
      <c r="BX5" s="69">
        <v>25000</v>
      </c>
      <c r="BY5" s="67">
        <v>1</v>
      </c>
      <c r="BZ5" s="35"/>
      <c r="CA5" s="33">
        <v>0.3</v>
      </c>
      <c r="CB5" s="33"/>
      <c r="CC5" s="33"/>
      <c r="CD5" s="36"/>
      <c r="CE5" s="36"/>
      <c r="CF5" s="36">
        <v>0.7</v>
      </c>
      <c r="CG5" s="61">
        <f t="shared" ref="CG5:CG60" si="5">BY5-BZ5-CA5-CB5-CC5-CD5-CE5-CF5</f>
        <v>0</v>
      </c>
      <c r="CH5" s="63">
        <f>IF($BY5&lt;&gt;0,BZ5*$BX5/$BY5,0)</f>
        <v>0</v>
      </c>
      <c r="CI5" s="44">
        <f t="shared" ref="CI5:CN29" si="6">IF($BY5&lt;&gt;0,CA5*$BX5/$BY5,0)</f>
        <v>7500</v>
      </c>
      <c r="CJ5" s="44">
        <f t="shared" si="6"/>
        <v>0</v>
      </c>
      <c r="CK5" s="44">
        <f t="shared" si="6"/>
        <v>0</v>
      </c>
      <c r="CL5" s="44">
        <f t="shared" si="6"/>
        <v>0</v>
      </c>
      <c r="CM5" s="44">
        <f t="shared" si="6"/>
        <v>0</v>
      </c>
      <c r="CN5" s="64">
        <f t="shared" si="6"/>
        <v>17500</v>
      </c>
      <c r="CO5" s="59">
        <f>BX5-CH5-CI5-CJ5-CK5-CL5-CM5-CN5</f>
        <v>0</v>
      </c>
      <c r="CP5" s="69">
        <v>25000</v>
      </c>
      <c r="CQ5" s="67">
        <v>1</v>
      </c>
      <c r="CR5" s="33"/>
      <c r="CS5" s="33">
        <v>0.3</v>
      </c>
      <c r="CT5" s="33"/>
      <c r="CU5" s="33"/>
      <c r="CV5" s="36"/>
      <c r="CW5" s="36">
        <v>0.5</v>
      </c>
      <c r="CX5" s="36">
        <v>0.2</v>
      </c>
      <c r="CY5" s="61">
        <f t="shared" ref="CY5:CY63" si="7">CQ5-CR5-CS5-CT5-CU5-CV5-CW5-CX5</f>
        <v>0</v>
      </c>
      <c r="CZ5" s="63">
        <f>IF($CQ5&lt;&gt;0,CR5*$CP5/$CQ5,0)</f>
        <v>0</v>
      </c>
      <c r="DA5" s="44">
        <f t="shared" ref="DA5:DF29" si="8">IF($CQ5&lt;&gt;0,CS5*$CP5/$CQ5,0)</f>
        <v>7500</v>
      </c>
      <c r="DB5" s="44">
        <f t="shared" si="8"/>
        <v>0</v>
      </c>
      <c r="DC5" s="44">
        <f t="shared" si="8"/>
        <v>0</v>
      </c>
      <c r="DD5" s="44">
        <f t="shared" si="8"/>
        <v>0</v>
      </c>
      <c r="DE5" s="44">
        <f t="shared" si="8"/>
        <v>12500</v>
      </c>
      <c r="DF5" s="64">
        <f t="shared" si="8"/>
        <v>5000</v>
      </c>
      <c r="DG5" s="59">
        <f>CP5-CZ5-DA5-DB5-DC5-DD5-DE5-DF5</f>
        <v>0</v>
      </c>
      <c r="DH5" s="69">
        <v>25000</v>
      </c>
      <c r="DI5" s="67">
        <v>1</v>
      </c>
      <c r="DJ5" s="33"/>
      <c r="DK5" s="33"/>
      <c r="DL5" s="33"/>
      <c r="DM5" s="33"/>
      <c r="DN5" s="36"/>
      <c r="DO5" s="36"/>
      <c r="DP5" s="36">
        <v>1</v>
      </c>
      <c r="DQ5" s="61">
        <f t="shared" ref="DQ5:DQ67" si="9">DI5-DJ5-DK5-DL5-DM5-DN5-DO5-DP5</f>
        <v>0</v>
      </c>
      <c r="DR5" s="63">
        <f>IF($DI5&lt;&gt;0,DJ5*$DH5/$DI5,0)</f>
        <v>0</v>
      </c>
      <c r="DS5" s="44">
        <f t="shared" ref="DS5:DX29" si="10">IF($DI5&lt;&gt;0,DK5*$DH5/$DI5,0)</f>
        <v>0</v>
      </c>
      <c r="DT5" s="44">
        <f>IF($DI5&lt;&gt;0,DL5*$DH5/$DI5,0)</f>
        <v>0</v>
      </c>
      <c r="DU5" s="44">
        <f t="shared" si="10"/>
        <v>0</v>
      </c>
      <c r="DV5" s="44">
        <f t="shared" si="10"/>
        <v>0</v>
      </c>
      <c r="DW5" s="44">
        <f t="shared" si="10"/>
        <v>0</v>
      </c>
      <c r="DX5" s="64">
        <f t="shared" si="10"/>
        <v>25000</v>
      </c>
      <c r="DY5" s="59">
        <f>DH5-DR5-DS5-DT5-DU5-DV5-DW5-DX5</f>
        <v>0</v>
      </c>
      <c r="DZ5" s="69">
        <v>25000</v>
      </c>
      <c r="EA5" s="67">
        <v>1</v>
      </c>
      <c r="EB5" s="33"/>
      <c r="EC5" s="33"/>
      <c r="ED5" s="33"/>
      <c r="EE5" s="36"/>
      <c r="EF5" s="36">
        <v>1</v>
      </c>
      <c r="EG5" s="36"/>
      <c r="EH5" s="61">
        <f>EA5-EB5-EC5-ED5-EE5-EF5-EG5</f>
        <v>0</v>
      </c>
      <c r="EI5" s="63">
        <f t="shared" ref="EI5:EN29" si="11">IF($EA5&lt;&gt;0,EB5*$DZ5/$EA5,0)</f>
        <v>0</v>
      </c>
      <c r="EJ5" s="44">
        <f t="shared" si="11"/>
        <v>0</v>
      </c>
      <c r="EK5" s="44">
        <f t="shared" si="11"/>
        <v>0</v>
      </c>
      <c r="EL5" s="44">
        <f t="shared" si="11"/>
        <v>0</v>
      </c>
      <c r="EM5" s="44">
        <f t="shared" si="11"/>
        <v>25000</v>
      </c>
      <c r="EN5" s="64">
        <f t="shared" si="11"/>
        <v>0</v>
      </c>
      <c r="EO5" s="59">
        <f>DZ5-EI5-EJ5-EK5-EL5-EM5-EN5</f>
        <v>0</v>
      </c>
      <c r="EP5" s="69">
        <v>25000</v>
      </c>
      <c r="EQ5" s="67">
        <v>1</v>
      </c>
      <c r="ER5" s="33"/>
      <c r="ES5" s="33"/>
      <c r="ET5" s="36">
        <v>1</v>
      </c>
      <c r="EU5" s="36"/>
      <c r="EV5" s="61">
        <f>EQ5-ER5-ES5-ET5-EU5</f>
        <v>0</v>
      </c>
      <c r="EW5" s="63">
        <f>IF($EQ5&lt;&gt;0,ER5*$EP5/$EQ5,0)</f>
        <v>0</v>
      </c>
      <c r="EX5" s="44">
        <f>IF($EQ5&lt;&gt;0,ES5*$EP5/$EQ5,0)</f>
        <v>0</v>
      </c>
      <c r="EY5" s="44">
        <f>IF($EQ5&lt;&gt;0,ET5*$EP5/$EQ5,0)</f>
        <v>25000</v>
      </c>
      <c r="EZ5" s="64">
        <f>IF($EQ5&lt;&gt;0,EU5*$EP5/$EQ5,0)</f>
        <v>0</v>
      </c>
      <c r="FA5" s="59">
        <f>EP5-EW5-EX5-EY5-EZ5</f>
        <v>0</v>
      </c>
      <c r="FB5" s="69">
        <v>25000</v>
      </c>
      <c r="FC5" s="67">
        <v>1</v>
      </c>
      <c r="FD5" s="33"/>
      <c r="FE5" s="36">
        <v>0.5</v>
      </c>
      <c r="FF5" s="36">
        <v>0.5</v>
      </c>
      <c r="FG5" s="61">
        <f>FC5-FD5-FE5-FF5</f>
        <v>0</v>
      </c>
      <c r="FH5" s="63">
        <f>IF($FC5&lt;&gt;0,FD5*$FB5/$FC5,0)</f>
        <v>0</v>
      </c>
      <c r="FI5" s="44">
        <f>IF($FC5&lt;&gt;0,FE5*$FB5/$FC5,0)</f>
        <v>12500</v>
      </c>
      <c r="FJ5" s="64">
        <f>IF($FC5&lt;&gt;0,FF5*$FB5/$FC5,0)</f>
        <v>12500</v>
      </c>
      <c r="FK5" s="59">
        <f>FB5-FH5-FI5-FJ5</f>
        <v>0</v>
      </c>
      <c r="FL5" s="69">
        <v>25000</v>
      </c>
      <c r="FM5" s="67">
        <v>1</v>
      </c>
      <c r="FN5" s="33"/>
      <c r="FO5" s="36">
        <v>0.2</v>
      </c>
      <c r="FP5" s="36">
        <v>0.1</v>
      </c>
      <c r="FQ5" s="36">
        <v>0.65</v>
      </c>
      <c r="FR5" s="36"/>
      <c r="FS5" s="61">
        <f>FM5-FN5-FO5-FR5-FP5-FQ5</f>
        <v>0.05</v>
      </c>
      <c r="FT5" s="63">
        <f>IF($FM5&lt;&gt;0,FN5*$FL5/$FM5,0)</f>
        <v>0</v>
      </c>
      <c r="FU5" s="44">
        <f>IF($FM5&lt;&gt;0,FO5*$FL5/$FM5,0)</f>
        <v>5000</v>
      </c>
      <c r="FV5" s="121">
        <f>IF($FM5&lt;&gt;0,FP5*$FL5/$FM5,0)</f>
        <v>2500</v>
      </c>
      <c r="FW5" s="121">
        <f>IF($FM5&lt;&gt;0,FQ5*$FL5/$FM5,0)</f>
        <v>16250</v>
      </c>
      <c r="FX5" s="64">
        <f>IF($FM5&lt;&gt;0,FR5*$FL5/$FM5,0)</f>
        <v>0</v>
      </c>
      <c r="FY5" s="59">
        <f>FL5-FT5-FU5-FX5-FV5-FW5</f>
        <v>1250</v>
      </c>
      <c r="FZ5" s="69">
        <v>25000</v>
      </c>
      <c r="GA5" s="67">
        <v>1</v>
      </c>
      <c r="GB5" s="33"/>
      <c r="GC5" s="36">
        <v>1</v>
      </c>
      <c r="GD5" s="36"/>
      <c r="GE5" s="36"/>
      <c r="GF5" s="61">
        <f>GA5-GB5-GC5-GD5-GE5</f>
        <v>0</v>
      </c>
      <c r="GG5" s="63">
        <f>IF($GA5&lt;&gt;0,GB5*$FZ5/$GA5,0)</f>
        <v>0</v>
      </c>
      <c r="GH5" s="63">
        <f t="shared" ref="GH5:GH34" si="12">IF($GA5&lt;&gt;0,GB5*$FZ5/$GA5,0)</f>
        <v>0</v>
      </c>
      <c r="GI5" s="44">
        <f t="shared" ref="GI5:GI34" si="13">IF($GA5&lt;&gt;0,GC5*$FZ5/$GA5,0)</f>
        <v>25000</v>
      </c>
      <c r="GJ5" s="44">
        <f>IF($GA5&lt;&gt;0,GC5*$FZ5/$GA5,0)</f>
        <v>25000</v>
      </c>
      <c r="GK5" s="124">
        <f t="shared" ref="GK5:GK34" si="14">IF($GA5&lt;&gt;0,GD5*$FZ5/$GA5,0)</f>
        <v>0</v>
      </c>
      <c r="GL5" s="122">
        <f t="shared" ref="GL5:GL34" si="15">IF($GA5&lt;&gt;0,GE5*$FZ5/$GA5,0)</f>
        <v>0</v>
      </c>
      <c r="GM5" s="410">
        <f t="shared" ref="GM5:GM67" si="16">FZ5-GG5-GI5-GK5-GL5</f>
        <v>0</v>
      </c>
      <c r="GN5" s="414">
        <v>25000</v>
      </c>
      <c r="GO5" s="67">
        <v>1</v>
      </c>
      <c r="GP5" s="33"/>
      <c r="GQ5" s="36">
        <v>1</v>
      </c>
      <c r="GR5" s="36"/>
      <c r="GS5" s="36"/>
      <c r="GT5" s="36"/>
      <c r="GU5" s="61">
        <f>GO5-GP5-GQ5-GR5-GS5-GT5</f>
        <v>0</v>
      </c>
      <c r="GV5" s="63">
        <f t="shared" ref="GV5:GV67" si="17">IF($GO5&lt;&gt;0,GP5*$GN5/$GO5,0)</f>
        <v>0</v>
      </c>
      <c r="GW5" s="44">
        <f t="shared" ref="GW5:GW67" si="18">IF($GO5&lt;&gt;0,GQ5*$GN5/$GO5,0)</f>
        <v>25000</v>
      </c>
      <c r="GX5" s="44">
        <f t="shared" ref="GX5:GX67" si="19">IF($GO5&lt;&gt;0,GR5*$GN5/$GO5,0)</f>
        <v>0</v>
      </c>
      <c r="GY5" s="44">
        <f t="shared" ref="GY5:GY67" si="20">IF($GO5&lt;&gt;0,GS5*$GN5/$GO5,0)</f>
        <v>0</v>
      </c>
      <c r="GZ5" s="64">
        <f t="shared" ref="GZ5:GZ67" si="21">IF($GO5&lt;&gt;0,GT5*$GN5/$GO5,0)</f>
        <v>0</v>
      </c>
      <c r="HA5" s="59">
        <f>GN5-GV5-GW5-GX5-GY5-GZ5</f>
        <v>0</v>
      </c>
      <c r="HB5" s="69">
        <v>30000</v>
      </c>
      <c r="HC5" s="67">
        <v>1</v>
      </c>
      <c r="HD5" s="33"/>
      <c r="HE5" s="36">
        <v>1</v>
      </c>
      <c r="HF5" s="36"/>
      <c r="HG5" s="36"/>
      <c r="HH5" s="36"/>
      <c r="HI5" s="36"/>
      <c r="HJ5" s="36"/>
      <c r="HK5" s="36"/>
      <c r="HL5" s="61">
        <f>HC5-HD5-HE5-HF5-HG5-HH5-HI5-HJ5-HK5</f>
        <v>0</v>
      </c>
      <c r="HM5" s="63">
        <f t="shared" ref="HM5:HM67" si="22">IF($HC5&lt;&gt;0,HD5*$HB5/$HC5,0)</f>
        <v>0</v>
      </c>
      <c r="HN5" s="44">
        <f t="shared" ref="HN5:HN67" si="23">IF($HC5&lt;&gt;0,HE5*$HB5/$HC5,0)</f>
        <v>30000</v>
      </c>
      <c r="HO5" s="44">
        <f t="shared" ref="HO5:HO67" si="24">IF($HC5&lt;&gt;0,HF5*$HB5/$HC5,0)</f>
        <v>0</v>
      </c>
      <c r="HP5" s="44">
        <f t="shared" ref="HP5:HP67" si="25">IF($HC5&lt;&gt;0,HG5*$HB5/$HC5,0)</f>
        <v>0</v>
      </c>
      <c r="HQ5" s="44">
        <f t="shared" ref="HQ5:HQ67" si="26">IF($HC5&lt;&gt;0,HH5*$HB5/$HC5,0)</f>
        <v>0</v>
      </c>
      <c r="HR5" s="44">
        <f t="shared" ref="HR5:HR67" si="27">IF($HC5&lt;&gt;0,HI5*$HB5/$HC5,0)</f>
        <v>0</v>
      </c>
      <c r="HS5" s="44">
        <f t="shared" ref="HS5:HS67" si="28">IF($HC5&lt;&gt;0,HJ5*$HB5/$HC5,0)</f>
        <v>0</v>
      </c>
      <c r="HT5" s="64">
        <f t="shared" ref="HT5:HT67" si="29">IF($HC5&lt;&gt;0,HK5*$HB5/$HC5,0)</f>
        <v>0</v>
      </c>
      <c r="HU5" s="59">
        <f>HB5-HM5-HN5-HO5-HP5-HQ5-HR5-HS5-HT5</f>
        <v>0</v>
      </c>
      <c r="HV5" s="69">
        <v>25000</v>
      </c>
      <c r="HW5" s="67">
        <v>1</v>
      </c>
      <c r="HX5" s="33"/>
      <c r="HY5" s="36"/>
      <c r="HZ5" s="61">
        <f>HW5-HX5-HY5</f>
        <v>1</v>
      </c>
      <c r="IA5" s="63">
        <f>IF($HW5&lt;&gt;0,HX5*$HV5/$HW5,0)</f>
        <v>0</v>
      </c>
      <c r="IB5" s="64">
        <f>IF($HW5&lt;&gt;0,HY5*$HV5/$HW5,0)</f>
        <v>0</v>
      </c>
      <c r="IC5" s="59">
        <f>HV5-IA5-IB5</f>
        <v>25000</v>
      </c>
      <c r="ID5" s="129">
        <f>1428.57+24272.08</f>
        <v>25700.65</v>
      </c>
      <c r="IE5" s="67">
        <v>1</v>
      </c>
      <c r="IF5" s="33"/>
      <c r="IG5" s="36">
        <v>1</v>
      </c>
      <c r="IH5" s="36"/>
      <c r="II5" s="36"/>
      <c r="IJ5" s="36"/>
      <c r="IK5" s="36"/>
      <c r="IL5" s="36"/>
      <c r="IM5" s="36"/>
      <c r="IN5" s="36"/>
      <c r="IO5" s="61">
        <f>IE5-IF5-IG5-IH5-II5-IJ5-IK5-IL5-IM5-IN5</f>
        <v>0</v>
      </c>
      <c r="IP5" s="63">
        <f t="shared" ref="IP5:IX5" si="30">IF($IE5&lt;&gt;0,IF5*$ID5/$IE5,0)</f>
        <v>0</v>
      </c>
      <c r="IQ5" s="44">
        <f t="shared" si="30"/>
        <v>25700.65</v>
      </c>
      <c r="IR5" s="44">
        <f t="shared" si="30"/>
        <v>0</v>
      </c>
      <c r="IS5" s="44">
        <f t="shared" si="30"/>
        <v>0</v>
      </c>
      <c r="IT5" s="44">
        <f t="shared" si="30"/>
        <v>0</v>
      </c>
      <c r="IU5" s="44">
        <f t="shared" si="30"/>
        <v>0</v>
      </c>
      <c r="IV5" s="44">
        <f t="shared" si="30"/>
        <v>0</v>
      </c>
      <c r="IW5" s="128">
        <f t="shared" si="30"/>
        <v>0</v>
      </c>
      <c r="IX5" s="64">
        <f t="shared" si="30"/>
        <v>0</v>
      </c>
      <c r="IY5" s="59">
        <f>ID5-IP5-IQ5-IR5-IS5-IT5-IU5-IV5-IW5-IX5</f>
        <v>0</v>
      </c>
      <c r="IZ5" s="129">
        <v>30000</v>
      </c>
      <c r="JA5" s="67">
        <v>1</v>
      </c>
      <c r="JB5" s="33"/>
      <c r="JC5" s="36">
        <v>1</v>
      </c>
      <c r="JD5" s="36"/>
      <c r="JE5" s="36"/>
      <c r="JF5" s="36"/>
      <c r="JG5" s="36"/>
      <c r="JH5" s="36"/>
      <c r="JI5" s="36"/>
      <c r="JJ5" s="36"/>
      <c r="JK5" s="61">
        <f>JA5-JB5-JC5-JD5-JE5-JF5-JG5-JH5-JI5-JJ5</f>
        <v>0</v>
      </c>
      <c r="JL5" s="63">
        <f t="shared" ref="JL5:JT5" si="31">IF($JA5&lt;&gt;0,JB5*$IZ5/$JA5,0)</f>
        <v>0</v>
      </c>
      <c r="JM5" s="44">
        <f t="shared" si="31"/>
        <v>30000</v>
      </c>
      <c r="JN5" s="44">
        <f t="shared" si="31"/>
        <v>0</v>
      </c>
      <c r="JO5" s="44">
        <f t="shared" si="31"/>
        <v>0</v>
      </c>
      <c r="JP5" s="44">
        <f t="shared" si="31"/>
        <v>0</v>
      </c>
      <c r="JQ5" s="44">
        <f t="shared" si="31"/>
        <v>0</v>
      </c>
      <c r="JR5" s="44">
        <f t="shared" si="31"/>
        <v>0</v>
      </c>
      <c r="JS5" s="44">
        <f t="shared" si="31"/>
        <v>0</v>
      </c>
      <c r="JT5" s="64">
        <f t="shared" si="31"/>
        <v>0</v>
      </c>
      <c r="JU5" s="59">
        <f>IZ5-JL5-JM5-JN5-JO5-JP5-JQ5-JR5-JS5-JT5</f>
        <v>0</v>
      </c>
      <c r="JV5" s="129">
        <v>30000</v>
      </c>
      <c r="JW5" s="67">
        <v>1</v>
      </c>
      <c r="JX5" s="33"/>
      <c r="JY5" s="33"/>
      <c r="JZ5" s="36"/>
      <c r="KA5" s="36"/>
      <c r="KB5" s="36"/>
      <c r="KC5" s="36">
        <v>0.3</v>
      </c>
      <c r="KD5" s="36"/>
      <c r="KE5" s="36"/>
      <c r="KF5" s="36">
        <v>0.7</v>
      </c>
      <c r="KG5" s="61">
        <f>JW5-JX5-JZ5-KA5-KB5-KC5-KD5-KE5-KF5-JY5</f>
        <v>0</v>
      </c>
      <c r="KH5" s="145">
        <f t="shared" ref="KH5:KP5" si="32">IF($JW5&lt;&gt;0,JX5*$JV5/$JW5,0)</f>
        <v>0</v>
      </c>
      <c r="KI5" s="44">
        <f t="shared" si="32"/>
        <v>0</v>
      </c>
      <c r="KJ5" s="44">
        <f t="shared" si="32"/>
        <v>0</v>
      </c>
      <c r="KK5" s="44">
        <f t="shared" si="32"/>
        <v>0</v>
      </c>
      <c r="KL5" s="44">
        <f t="shared" si="32"/>
        <v>0</v>
      </c>
      <c r="KM5" s="44">
        <f t="shared" si="32"/>
        <v>9000</v>
      </c>
      <c r="KN5" s="44">
        <f t="shared" si="32"/>
        <v>0</v>
      </c>
      <c r="KO5" s="44">
        <f t="shared" si="32"/>
        <v>0</v>
      </c>
      <c r="KP5" s="64">
        <f t="shared" si="32"/>
        <v>21000</v>
      </c>
      <c r="KQ5" s="59">
        <f>JV5-KH5-KJ5-KK5-KL5-KM5-KN5-KO5-KP5-KI5</f>
        <v>0</v>
      </c>
      <c r="KR5" s="129">
        <v>30000</v>
      </c>
      <c r="KS5" s="67">
        <v>1</v>
      </c>
      <c r="KT5" s="33"/>
      <c r="KU5" s="36"/>
      <c r="KV5" s="36">
        <v>0.8</v>
      </c>
      <c r="KW5" s="36"/>
      <c r="KX5" s="36">
        <v>0.2</v>
      </c>
      <c r="KY5" s="36"/>
      <c r="KZ5" s="36"/>
      <c r="LA5" s="36"/>
      <c r="LB5" s="61">
        <f>KS5-KT5-KU5-KV5-KW5-KX5-KY5-KZ5-LA5</f>
        <v>0</v>
      </c>
      <c r="LC5" s="63">
        <f>IF($KS5&lt;&gt;0,KT5*$KR5/$KS5,0)</f>
        <v>0</v>
      </c>
      <c r="LD5" s="44">
        <f t="shared" ref="LD5:LJ5" si="33">IF($KS5&lt;&gt;0,KU5*$KR5/$KS5,0)</f>
        <v>0</v>
      </c>
      <c r="LE5" s="44">
        <f t="shared" si="33"/>
        <v>24000</v>
      </c>
      <c r="LF5" s="44">
        <f t="shared" si="33"/>
        <v>0</v>
      </c>
      <c r="LG5" s="44">
        <f t="shared" si="33"/>
        <v>6000</v>
      </c>
      <c r="LH5" s="44">
        <f t="shared" si="33"/>
        <v>0</v>
      </c>
      <c r="LI5" s="44">
        <f t="shared" si="33"/>
        <v>0</v>
      </c>
      <c r="LJ5" s="64">
        <f t="shared" si="33"/>
        <v>0</v>
      </c>
      <c r="LK5" s="59">
        <f>KR5-LC5-LD5-LE5-LF5-LG5-LH5-LI5-LJ5</f>
        <v>0</v>
      </c>
      <c r="LL5" s="129">
        <v>30000</v>
      </c>
      <c r="LM5" s="67">
        <v>1</v>
      </c>
      <c r="LN5" s="36"/>
      <c r="LO5" s="36">
        <v>0.25</v>
      </c>
      <c r="LP5" s="36"/>
      <c r="LQ5" s="36">
        <v>0.25</v>
      </c>
      <c r="LR5" s="36">
        <v>0.5</v>
      </c>
      <c r="LS5" s="36"/>
      <c r="LT5" s="36"/>
      <c r="LU5" s="61">
        <f>LM5-LN5-LO5-LP5-LQ5-LR5-LS5-LT5</f>
        <v>0</v>
      </c>
      <c r="LV5" s="63">
        <f>IF($LM5&lt;&gt;0,LN5*$LL5/$LM5,0)</f>
        <v>0</v>
      </c>
      <c r="LW5" s="44">
        <f t="shared" ref="LW5:MB5" si="34">IF($LM5&lt;&gt;0,LO5*$LL5/$LM5,0)</f>
        <v>7500</v>
      </c>
      <c r="LX5" s="44">
        <f t="shared" si="34"/>
        <v>0</v>
      </c>
      <c r="LY5" s="44">
        <f t="shared" si="34"/>
        <v>7500</v>
      </c>
      <c r="LZ5" s="44">
        <f t="shared" si="34"/>
        <v>15000</v>
      </c>
      <c r="MA5" s="44">
        <f t="shared" si="34"/>
        <v>0</v>
      </c>
      <c r="MB5" s="64">
        <f t="shared" si="34"/>
        <v>0</v>
      </c>
      <c r="MC5" s="59">
        <f>LL5-LV5-LW5-LX5-LY5-LZ5-MA5-MB5</f>
        <v>0</v>
      </c>
      <c r="MD5" s="129">
        <v>30000</v>
      </c>
      <c r="ME5" s="67">
        <v>1</v>
      </c>
      <c r="MF5" s="36"/>
      <c r="MG5" s="36"/>
      <c r="MH5" s="36"/>
      <c r="MI5" s="36">
        <v>1</v>
      </c>
      <c r="MJ5" s="36"/>
      <c r="MK5" s="36"/>
      <c r="ML5" s="36"/>
      <c r="MM5" s="61">
        <f>ME5-MF5-MG5-MH5-MI5-MJ5-MK5-ML5</f>
        <v>0</v>
      </c>
      <c r="MN5" s="63">
        <f t="shared" ref="MN5:MT5" si="35">IF($ME5&lt;&gt;0,MF5*$MD5/$ME5,0)</f>
        <v>0</v>
      </c>
      <c r="MO5" s="44">
        <f t="shared" si="35"/>
        <v>0</v>
      </c>
      <c r="MP5" s="44">
        <f t="shared" si="35"/>
        <v>0</v>
      </c>
      <c r="MQ5" s="44">
        <f t="shared" si="35"/>
        <v>30000</v>
      </c>
      <c r="MR5" s="44">
        <f t="shared" si="35"/>
        <v>0</v>
      </c>
      <c r="MS5" s="44">
        <f t="shared" si="35"/>
        <v>0</v>
      </c>
      <c r="MT5" s="64">
        <f t="shared" si="35"/>
        <v>0</v>
      </c>
      <c r="MU5" s="59">
        <f>MD5-MN5-MO5-MP5-MQ5-MR5-MS5-MT5</f>
        <v>0</v>
      </c>
      <c r="MV5" s="617">
        <v>30000</v>
      </c>
      <c r="MW5" s="618">
        <v>1</v>
      </c>
      <c r="MX5" s="36"/>
      <c r="MY5" s="36"/>
      <c r="MZ5" s="36">
        <v>0.35</v>
      </c>
      <c r="NA5" s="36">
        <v>0.65</v>
      </c>
      <c r="NB5" s="36"/>
      <c r="NC5" s="36"/>
      <c r="ND5" s="36"/>
      <c r="NE5" s="61">
        <f>MW5-MX5-MY5-MZ5-NA5-NC5-ND5</f>
        <v>0</v>
      </c>
      <c r="NF5" s="63">
        <f t="shared" ref="NF5:NL5" si="36">IF($MW5&lt;&gt;0,MX5*$MV5/$MW5,0)</f>
        <v>0</v>
      </c>
      <c r="NG5" s="44">
        <f t="shared" si="36"/>
        <v>0</v>
      </c>
      <c r="NH5" s="44">
        <f t="shared" si="36"/>
        <v>10500</v>
      </c>
      <c r="NI5" s="44">
        <f t="shared" si="36"/>
        <v>19500</v>
      </c>
      <c r="NJ5" s="44">
        <f t="shared" si="36"/>
        <v>0</v>
      </c>
      <c r="NK5" s="44">
        <f t="shared" si="36"/>
        <v>0</v>
      </c>
      <c r="NL5" s="64">
        <f t="shared" si="36"/>
        <v>0</v>
      </c>
      <c r="NM5" s="59">
        <f>MV5-NF5-NG5-NH5-NI5-NJ5-NK5-NL5</f>
        <v>0</v>
      </c>
      <c r="NN5" s="617">
        <v>30000</v>
      </c>
      <c r="NO5" s="618">
        <v>1</v>
      </c>
      <c r="NP5" s="36"/>
      <c r="NQ5" s="36">
        <v>1</v>
      </c>
      <c r="NR5" s="36"/>
      <c r="NS5" s="36"/>
      <c r="NT5" s="36"/>
      <c r="NU5" s="61">
        <f>NO5-NP5-NQ5-NR5-NS5-NT5</f>
        <v>0</v>
      </c>
      <c r="NV5" s="63">
        <f>IF($NO5&lt;&gt;0,NP5*$NN5/$NO5,0)</f>
        <v>0</v>
      </c>
      <c r="NW5" s="44">
        <f t="shared" ref="NW5:NZ5" si="37">IF($NO5&lt;&gt;0,NQ5*$NN5/$NO5,0)</f>
        <v>30000</v>
      </c>
      <c r="NX5" s="44">
        <f t="shared" si="37"/>
        <v>0</v>
      </c>
      <c r="NY5" s="44">
        <f t="shared" si="37"/>
        <v>0</v>
      </c>
      <c r="NZ5" s="64">
        <f t="shared" si="37"/>
        <v>0</v>
      </c>
      <c r="OA5" s="59">
        <f>NN5-NV5-NW5-NX5-NY5-NZ5</f>
        <v>0</v>
      </c>
      <c r="OB5" s="131">
        <v>30000</v>
      </c>
      <c r="OC5" s="132">
        <v>1</v>
      </c>
      <c r="OD5" s="36"/>
      <c r="OE5" s="36">
        <v>1</v>
      </c>
      <c r="OF5" s="36"/>
      <c r="OG5" s="36"/>
      <c r="OH5" s="36"/>
      <c r="OI5" s="61">
        <f>OC5-OD5-OE5-OF5-OG5-OH5</f>
        <v>0</v>
      </c>
      <c r="OJ5" s="63">
        <f>IF($OC5&lt;&gt;0,OD5*$OB5/$OC5,0)</f>
        <v>0</v>
      </c>
      <c r="OK5" s="44">
        <f t="shared" ref="OK5:ON5" si="38">IF($OC5&lt;&gt;0,OE5*$OB5/$OC5,0)</f>
        <v>30000</v>
      </c>
      <c r="OL5" s="44">
        <f t="shared" si="38"/>
        <v>0</v>
      </c>
      <c r="OM5" s="44">
        <f t="shared" si="38"/>
        <v>0</v>
      </c>
      <c r="ON5" s="64">
        <f t="shared" si="38"/>
        <v>0</v>
      </c>
      <c r="OO5" s="59">
        <f>OB5-OJ5-OK5-OL5-OM5-ON5</f>
        <v>0</v>
      </c>
      <c r="OP5" s="131">
        <v>30000</v>
      </c>
      <c r="OQ5" s="132">
        <v>1</v>
      </c>
      <c r="OR5" s="36"/>
      <c r="OS5" s="36">
        <v>0.5</v>
      </c>
      <c r="OT5" s="36"/>
      <c r="OU5" s="36"/>
      <c r="OV5" s="36"/>
      <c r="OW5" s="61">
        <f>OQ5-OR5-OS5-OT5-OU5-OV5</f>
        <v>0.5</v>
      </c>
      <c r="OX5" s="63">
        <f>IF($OQ5&lt;&gt;0,OR5*$OP5/$OQ5,0)</f>
        <v>0</v>
      </c>
      <c r="OY5" s="44">
        <f t="shared" ref="OY5:PB5" si="39">IF($OQ5&lt;&gt;0,OS5*$OP5/$OQ5,0)</f>
        <v>15000</v>
      </c>
      <c r="OZ5" s="44">
        <f t="shared" si="39"/>
        <v>0</v>
      </c>
      <c r="PA5" s="44">
        <f t="shared" si="39"/>
        <v>0</v>
      </c>
      <c r="PB5" s="64">
        <f t="shared" si="39"/>
        <v>0</v>
      </c>
      <c r="PC5" s="59">
        <f>OP5-OX5-OY5-OZ5-PA5-PB5</f>
        <v>15000</v>
      </c>
      <c r="PD5" s="131">
        <v>30000</v>
      </c>
      <c r="PE5" s="132">
        <v>1</v>
      </c>
      <c r="PF5" s="36"/>
      <c r="PG5" s="36"/>
      <c r="PH5" s="36"/>
      <c r="PI5" s="36"/>
      <c r="PJ5" s="36"/>
      <c r="PK5" s="61">
        <f>PE5-PF5-PG5-PH5-PI5-PJ5</f>
        <v>1</v>
      </c>
      <c r="PL5" s="63">
        <f>IF($PE5&lt;&gt;0,PF5*$PD5/$PE5,0)</f>
        <v>0</v>
      </c>
      <c r="PM5" s="44">
        <f t="shared" ref="PM5:PP5" si="40">IF($PE5&lt;&gt;0,PG5*$PD5/$PE5,0)</f>
        <v>0</v>
      </c>
      <c r="PN5" s="44">
        <f t="shared" si="40"/>
        <v>0</v>
      </c>
      <c r="PO5" s="44">
        <f t="shared" si="40"/>
        <v>0</v>
      </c>
      <c r="PP5" s="64">
        <f t="shared" si="40"/>
        <v>0</v>
      </c>
      <c r="PQ5" s="59">
        <f>PD5-PL5-PM5-PN5-PO5-PP5</f>
        <v>30000</v>
      </c>
      <c r="PS5" s="885">
        <f>PJ5+OV5+OH5+NT5+ND5+ML5+LT5+LA5+KF5+JJ5+IN5</f>
        <v>0.7</v>
      </c>
    </row>
    <row r="6" spans="2:435" x14ac:dyDescent="0.2">
      <c r="B6" s="24">
        <v>2</v>
      </c>
      <c r="C6" s="25" t="s">
        <v>27</v>
      </c>
      <c r="D6" s="26">
        <v>12500</v>
      </c>
      <c r="E6" s="42">
        <v>0.5</v>
      </c>
      <c r="F6" s="31"/>
      <c r="G6" s="12"/>
      <c r="H6" s="12"/>
      <c r="I6" s="12"/>
      <c r="J6" s="12">
        <v>0.5</v>
      </c>
      <c r="K6" s="12"/>
      <c r="L6" s="15"/>
      <c r="M6" s="61">
        <f t="shared" ref="M6:M65" si="41">E6-F6-G6-H6-I6-J6-K6-L6</f>
        <v>0</v>
      </c>
      <c r="N6" s="31">
        <f t="shared" si="0"/>
        <v>0</v>
      </c>
      <c r="O6" s="12">
        <f t="shared" si="0"/>
        <v>0</v>
      </c>
      <c r="P6" s="12">
        <f t="shared" si="0"/>
        <v>0</v>
      </c>
      <c r="Q6" s="12">
        <f t="shared" si="0"/>
        <v>0</v>
      </c>
      <c r="R6" s="12">
        <f t="shared" si="0"/>
        <v>12500</v>
      </c>
      <c r="S6" s="12">
        <f t="shared" si="0"/>
        <v>0</v>
      </c>
      <c r="T6" s="15">
        <f t="shared" si="0"/>
        <v>0</v>
      </c>
      <c r="U6" s="59">
        <f>D6-N6-O6-P6-Q6-R6-S6-T6</f>
        <v>0</v>
      </c>
      <c r="V6" s="26">
        <v>20000</v>
      </c>
      <c r="W6" s="42">
        <v>0.5</v>
      </c>
      <c r="X6" s="31"/>
      <c r="Y6" s="12"/>
      <c r="Z6" s="12"/>
      <c r="AA6" s="12"/>
      <c r="AB6" s="12"/>
      <c r="AC6" s="12"/>
      <c r="AD6" s="15"/>
      <c r="AE6" s="15">
        <v>0.5</v>
      </c>
      <c r="AF6" s="61">
        <f t="shared" ref="AF6:AF67" si="42">W6-X6-Y6-Z6-AA6-AB6-AC6-AD6-AE6</f>
        <v>0</v>
      </c>
      <c r="AG6" s="35">
        <f t="shared" ref="AG6:AN67" si="43">IF($W6&lt;&gt;0,X6*$V6/$W6,0)</f>
        <v>0</v>
      </c>
      <c r="AH6" s="35">
        <f t="shared" si="1"/>
        <v>0</v>
      </c>
      <c r="AI6" s="35">
        <f t="shared" si="1"/>
        <v>0</v>
      </c>
      <c r="AJ6" s="35">
        <f t="shared" si="1"/>
        <v>0</v>
      </c>
      <c r="AK6" s="35">
        <f t="shared" si="1"/>
        <v>0</v>
      </c>
      <c r="AL6" s="35">
        <f t="shared" si="1"/>
        <v>0</v>
      </c>
      <c r="AM6" s="35">
        <f t="shared" si="1"/>
        <v>0</v>
      </c>
      <c r="AN6" s="35">
        <f t="shared" si="1"/>
        <v>20000</v>
      </c>
      <c r="AO6" s="62">
        <f t="shared" ref="AO6:AO67" si="44">V6-AG6-AH6-AI6-AJ6-AK6-AL6-AM6-AN6</f>
        <v>0</v>
      </c>
      <c r="AP6" s="26">
        <v>20000</v>
      </c>
      <c r="AQ6" s="42">
        <v>0.5</v>
      </c>
      <c r="AR6" s="12"/>
      <c r="AS6" s="12"/>
      <c r="AT6" s="12">
        <v>0.5</v>
      </c>
      <c r="AU6" s="12"/>
      <c r="AV6" s="15"/>
      <c r="AW6" s="15"/>
      <c r="AX6" s="61">
        <f t="shared" ref="AX6:AX67" si="45">AQ6-AR6-AS6-AT6-AU6-AV6-AW6</f>
        <v>0</v>
      </c>
      <c r="AY6" s="35">
        <f t="shared" si="2"/>
        <v>0</v>
      </c>
      <c r="AZ6" s="35">
        <f t="shared" si="2"/>
        <v>0</v>
      </c>
      <c r="BA6" s="35">
        <f t="shared" si="2"/>
        <v>20000</v>
      </c>
      <c r="BB6" s="35">
        <f t="shared" si="2"/>
        <v>0</v>
      </c>
      <c r="BC6" s="35">
        <f t="shared" si="2"/>
        <v>0</v>
      </c>
      <c r="BD6" s="34">
        <f t="shared" si="2"/>
        <v>0</v>
      </c>
      <c r="BE6" s="59">
        <f t="shared" ref="BE6:BE67" si="46">AP6-AY6-AZ6-BA6-BB6-BC6-BD6</f>
        <v>0</v>
      </c>
      <c r="BF6" s="26">
        <v>20000</v>
      </c>
      <c r="BG6" s="42">
        <v>0.5</v>
      </c>
      <c r="BH6" s="12"/>
      <c r="BI6" s="12"/>
      <c r="BJ6" s="12"/>
      <c r="BK6" s="12"/>
      <c r="BL6" s="15"/>
      <c r="BM6" s="15"/>
      <c r="BN6" s="15">
        <v>0.5</v>
      </c>
      <c r="BO6" s="61">
        <f t="shared" si="3"/>
        <v>0</v>
      </c>
      <c r="BP6" s="65">
        <f t="shared" si="4"/>
        <v>0</v>
      </c>
      <c r="BQ6" s="33">
        <f t="shared" si="4"/>
        <v>0</v>
      </c>
      <c r="BR6" s="33">
        <f t="shared" si="4"/>
        <v>0</v>
      </c>
      <c r="BS6" s="33">
        <f t="shared" si="4"/>
        <v>0</v>
      </c>
      <c r="BT6" s="33">
        <f t="shared" si="4"/>
        <v>0</v>
      </c>
      <c r="BU6" s="33">
        <f t="shared" si="4"/>
        <v>0</v>
      </c>
      <c r="BV6" s="34">
        <f t="shared" si="4"/>
        <v>20000</v>
      </c>
      <c r="BW6" s="59">
        <f>BF6-BP6-BQ6-BR6-BS6-BT6-BU6-BV6</f>
        <v>0</v>
      </c>
      <c r="BX6" s="69">
        <v>20000</v>
      </c>
      <c r="BY6" s="68">
        <v>0.5</v>
      </c>
      <c r="BZ6" s="31">
        <v>0.5</v>
      </c>
      <c r="CA6" s="12"/>
      <c r="CB6" s="12"/>
      <c r="CC6" s="12"/>
      <c r="CD6" s="15"/>
      <c r="CE6" s="15"/>
      <c r="CF6" s="15"/>
      <c r="CG6" s="61">
        <f t="shared" si="5"/>
        <v>0</v>
      </c>
      <c r="CH6" s="66">
        <f t="shared" ref="CH6:CN67" si="47">IF($BY6&lt;&gt;0,BZ6*$BX6/$BY6,0)</f>
        <v>20000</v>
      </c>
      <c r="CI6" s="12">
        <f t="shared" si="6"/>
        <v>0</v>
      </c>
      <c r="CJ6" s="12">
        <f t="shared" si="6"/>
        <v>0</v>
      </c>
      <c r="CK6" s="12">
        <f t="shared" si="6"/>
        <v>0</v>
      </c>
      <c r="CL6" s="12">
        <f t="shared" si="6"/>
        <v>0</v>
      </c>
      <c r="CM6" s="12">
        <f t="shared" si="6"/>
        <v>0</v>
      </c>
      <c r="CN6" s="16">
        <f t="shared" si="6"/>
        <v>0</v>
      </c>
      <c r="CO6" s="59">
        <f>BX6-CH6-CI6-CJ6-CK6-CL6-CM6-CN6</f>
        <v>0</v>
      </c>
      <c r="CP6" s="69">
        <f>952.38+14285.6</f>
        <v>15237.98</v>
      </c>
      <c r="CQ6" s="68">
        <v>0.5</v>
      </c>
      <c r="CR6" s="12"/>
      <c r="CS6" s="12"/>
      <c r="CT6" s="12"/>
      <c r="CU6" s="12"/>
      <c r="CV6" s="15"/>
      <c r="CW6" s="15"/>
      <c r="CX6" s="15">
        <v>0.5</v>
      </c>
      <c r="CY6" s="61">
        <f t="shared" si="7"/>
        <v>0</v>
      </c>
      <c r="CZ6" s="66">
        <f>IF($CQ6&lt;&gt;0,CR6*$CP6/$CQ6,0)</f>
        <v>0</v>
      </c>
      <c r="DA6" s="12">
        <f t="shared" si="8"/>
        <v>0</v>
      </c>
      <c r="DB6" s="12">
        <f t="shared" si="8"/>
        <v>0</v>
      </c>
      <c r="DC6" s="12">
        <f t="shared" si="8"/>
        <v>0</v>
      </c>
      <c r="DD6" s="12">
        <f t="shared" si="8"/>
        <v>0</v>
      </c>
      <c r="DE6" s="12">
        <f t="shared" si="8"/>
        <v>0</v>
      </c>
      <c r="DF6" s="16">
        <f t="shared" si="8"/>
        <v>15237.98</v>
      </c>
      <c r="DG6" s="59">
        <f>CP6-CZ6-DA6-DB6-DC6-DD6-DE6-DF6</f>
        <v>0</v>
      </c>
      <c r="DH6" s="69">
        <v>20000</v>
      </c>
      <c r="DI6" s="68">
        <v>0.5</v>
      </c>
      <c r="DJ6" s="12"/>
      <c r="DK6" s="12"/>
      <c r="DL6" s="12"/>
      <c r="DM6" s="12"/>
      <c r="DN6" s="15"/>
      <c r="DO6" s="15"/>
      <c r="DP6" s="15">
        <v>0.5</v>
      </c>
      <c r="DQ6" s="61">
        <f t="shared" si="9"/>
        <v>0</v>
      </c>
      <c r="DR6" s="66">
        <f t="shared" ref="DR6:DX67" si="48">IF($DI6&lt;&gt;0,DJ6*$DH6/$DI6,0)</f>
        <v>0</v>
      </c>
      <c r="DS6" s="12">
        <f t="shared" si="10"/>
        <v>0</v>
      </c>
      <c r="DT6" s="12">
        <f t="shared" si="10"/>
        <v>0</v>
      </c>
      <c r="DU6" s="12">
        <f t="shared" si="10"/>
        <v>0</v>
      </c>
      <c r="DV6" s="12">
        <f t="shared" si="10"/>
        <v>0</v>
      </c>
      <c r="DW6" s="12">
        <f t="shared" si="10"/>
        <v>0</v>
      </c>
      <c r="DX6" s="16">
        <f t="shared" si="10"/>
        <v>20000</v>
      </c>
      <c r="DY6" s="59">
        <f>DH6-DR6-DS6-DT6-DU6-DV6-DW6-DX6</f>
        <v>0</v>
      </c>
      <c r="DZ6" s="69">
        <v>20000</v>
      </c>
      <c r="EA6" s="68">
        <v>0.5</v>
      </c>
      <c r="EB6" s="12">
        <v>0.1</v>
      </c>
      <c r="EC6" s="12"/>
      <c r="ED6" s="12"/>
      <c r="EE6" s="15"/>
      <c r="EF6" s="15">
        <v>0.4</v>
      </c>
      <c r="EG6" s="15"/>
      <c r="EH6" s="61">
        <f>EA6-EB6-EC6-ED6-EE6-EF6-EG6</f>
        <v>0</v>
      </c>
      <c r="EI6" s="66">
        <f t="shared" si="11"/>
        <v>4000</v>
      </c>
      <c r="EJ6" s="12">
        <f t="shared" si="11"/>
        <v>0</v>
      </c>
      <c r="EK6" s="12">
        <f t="shared" si="11"/>
        <v>0</v>
      </c>
      <c r="EL6" s="12">
        <f t="shared" si="11"/>
        <v>0</v>
      </c>
      <c r="EM6" s="12">
        <f t="shared" si="11"/>
        <v>16000</v>
      </c>
      <c r="EN6" s="16">
        <f t="shared" si="11"/>
        <v>0</v>
      </c>
      <c r="EO6" s="59">
        <f>DZ6-EI6-EJ6-EK6-EL6-EM6-EN6</f>
        <v>0</v>
      </c>
      <c r="EP6" s="69">
        <v>20000</v>
      </c>
      <c r="EQ6" s="68">
        <v>0.5</v>
      </c>
      <c r="ER6" s="12">
        <v>0.2</v>
      </c>
      <c r="ES6" s="12"/>
      <c r="ET6" s="15">
        <v>0.3</v>
      </c>
      <c r="EU6" s="15"/>
      <c r="EV6" s="61">
        <f>EQ6-ER6-ES6-ET6-EU6</f>
        <v>0</v>
      </c>
      <c r="EW6" s="66">
        <f t="shared" ref="EW6:EZ67" si="49">IF($EQ6&lt;&gt;0,ER6*$EP6/$EQ6,0)</f>
        <v>8000</v>
      </c>
      <c r="EX6" s="12">
        <f t="shared" si="49"/>
        <v>0</v>
      </c>
      <c r="EY6" s="12">
        <f t="shared" si="49"/>
        <v>12000</v>
      </c>
      <c r="EZ6" s="16">
        <f t="shared" si="49"/>
        <v>0</v>
      </c>
      <c r="FA6" s="59">
        <f>EP6-EW6-EX6-EY6-EZ6</f>
        <v>0</v>
      </c>
      <c r="FB6" s="69">
        <v>20000</v>
      </c>
      <c r="FC6" s="68">
        <v>0.5</v>
      </c>
      <c r="FD6" s="12"/>
      <c r="FE6" s="15"/>
      <c r="FF6" s="15">
        <v>0.5</v>
      </c>
      <c r="FG6" s="61">
        <f>FC6-FD6-FE6-FF6</f>
        <v>0</v>
      </c>
      <c r="FH6" s="66">
        <f t="shared" ref="FH6:FJ67" si="50">IF($FC6&lt;&gt;0,FD6*$FB6/$FC6,0)</f>
        <v>0</v>
      </c>
      <c r="FI6" s="12">
        <f t="shared" si="50"/>
        <v>0</v>
      </c>
      <c r="FJ6" s="16">
        <f t="shared" si="50"/>
        <v>20000</v>
      </c>
      <c r="FK6" s="59">
        <f>FB6-FH6-FI6-FJ6</f>
        <v>0</v>
      </c>
      <c r="FL6" s="69">
        <v>20000</v>
      </c>
      <c r="FM6" s="68">
        <v>0.5</v>
      </c>
      <c r="FN6" s="12"/>
      <c r="FO6" s="15">
        <v>0.5</v>
      </c>
      <c r="FP6" s="15"/>
      <c r="FQ6" s="15"/>
      <c r="FR6" s="15"/>
      <c r="FS6" s="61">
        <f>FM6-FN6-FO6-FR6-FP6-FQ6</f>
        <v>0</v>
      </c>
      <c r="FT6" s="66">
        <f>IF($FM6&lt;&gt;0,FN6*$FL6/$FM6,0)</f>
        <v>0</v>
      </c>
      <c r="FU6" s="12">
        <f>IF($FM6&lt;&gt;0,FO6*$FL6/$FM6,0)</f>
        <v>20000</v>
      </c>
      <c r="FV6" s="12">
        <f>IF($FM6&lt;&gt;0,FP6*$FL6/$FM6,0)</f>
        <v>0</v>
      </c>
      <c r="FW6" s="12">
        <f>IF($FM6&lt;&gt;0,FQ6*$FL6/$FM6,0)</f>
        <v>0</v>
      </c>
      <c r="FX6" s="16">
        <f t="shared" ref="FX6:FX67" si="51">IF($FM6&lt;&gt;0,FR6*$FL6/$FM6,0)</f>
        <v>0</v>
      </c>
      <c r="FY6" s="59">
        <f t="shared" ref="FY6:FY67" si="52">FL6-FT6-FU6-FX6-FV6-FW6</f>
        <v>0</v>
      </c>
      <c r="FZ6" s="69">
        <v>20000</v>
      </c>
      <c r="GA6" s="68">
        <v>0.5</v>
      </c>
      <c r="GB6" s="12">
        <v>0.5</v>
      </c>
      <c r="GC6" s="15"/>
      <c r="GD6" s="15"/>
      <c r="GE6" s="15"/>
      <c r="GF6" s="61">
        <f>GA6-GB6-GC6-GD6-GE6</f>
        <v>0</v>
      </c>
      <c r="GG6" s="66">
        <f t="shared" ref="GG6:GG67" si="53">IF($GA6&lt;&gt;0,GB6*$FZ6/$GA6,0)</f>
        <v>20000</v>
      </c>
      <c r="GH6" s="66">
        <f t="shared" si="12"/>
        <v>20000</v>
      </c>
      <c r="GI6" s="12">
        <f t="shared" si="13"/>
        <v>0</v>
      </c>
      <c r="GJ6" s="12">
        <f>IF($GA6&lt;&gt;0,GC6*$FZ6/$GA6,0)</f>
        <v>0</v>
      </c>
      <c r="GK6" s="31">
        <f t="shared" si="14"/>
        <v>0</v>
      </c>
      <c r="GL6" s="123">
        <f t="shared" si="15"/>
        <v>0</v>
      </c>
      <c r="GM6" s="410">
        <f t="shared" si="16"/>
        <v>0</v>
      </c>
      <c r="GN6" s="414">
        <v>20000</v>
      </c>
      <c r="GO6" s="68">
        <v>0.5</v>
      </c>
      <c r="GP6" s="12"/>
      <c r="GQ6" s="15">
        <v>0.5</v>
      </c>
      <c r="GR6" s="15"/>
      <c r="GS6" s="15"/>
      <c r="GT6" s="15"/>
      <c r="GU6" s="61">
        <f t="shared" ref="GU6:GU67" si="54">GO6-GP6-GQ6-GR6-GS6-GT6</f>
        <v>0</v>
      </c>
      <c r="GV6" s="66">
        <f t="shared" si="17"/>
        <v>0</v>
      </c>
      <c r="GW6" s="12">
        <f t="shared" si="18"/>
        <v>20000</v>
      </c>
      <c r="GX6" s="12">
        <f t="shared" si="19"/>
        <v>0</v>
      </c>
      <c r="GY6" s="12">
        <f t="shared" si="20"/>
        <v>0</v>
      </c>
      <c r="GZ6" s="16">
        <f t="shared" si="21"/>
        <v>0</v>
      </c>
      <c r="HA6" s="59">
        <f t="shared" ref="HA6:HA67" si="55">GN6-GV6-GW6-GX6-GY6-GZ6</f>
        <v>0</v>
      </c>
      <c r="HB6" s="69">
        <v>30000</v>
      </c>
      <c r="HC6" s="68">
        <v>0.5</v>
      </c>
      <c r="HD6" s="12"/>
      <c r="HE6" s="15"/>
      <c r="HF6" s="15"/>
      <c r="HG6" s="15"/>
      <c r="HH6" s="15"/>
      <c r="HI6" s="15"/>
      <c r="HJ6" s="15"/>
      <c r="HK6" s="15">
        <v>0.5</v>
      </c>
      <c r="HL6" s="61">
        <f t="shared" ref="HL6:HL67" si="56">HC6-HD6-HE6-HF6-HG6-HH6-HI6-HJ6-HK6</f>
        <v>0</v>
      </c>
      <c r="HM6" s="66">
        <f t="shared" si="22"/>
        <v>0</v>
      </c>
      <c r="HN6" s="12">
        <f t="shared" si="23"/>
        <v>0</v>
      </c>
      <c r="HO6" s="12">
        <f t="shared" si="24"/>
        <v>0</v>
      </c>
      <c r="HP6" s="12">
        <f t="shared" si="25"/>
        <v>0</v>
      </c>
      <c r="HQ6" s="12">
        <f t="shared" si="26"/>
        <v>0</v>
      </c>
      <c r="HR6" s="12">
        <f t="shared" si="27"/>
        <v>0</v>
      </c>
      <c r="HS6" s="12">
        <f t="shared" si="28"/>
        <v>0</v>
      </c>
      <c r="HT6" s="16">
        <f t="shared" si="29"/>
        <v>30000</v>
      </c>
      <c r="HU6" s="59">
        <f t="shared" ref="HU6:HU67" si="57">HB6-HM6-HN6-HO6-HP6-HQ6-HR6-HS6-HT6</f>
        <v>0</v>
      </c>
      <c r="HV6" s="69">
        <v>20000</v>
      </c>
      <c r="HW6" s="68">
        <v>0.5</v>
      </c>
      <c r="HX6" s="12"/>
      <c r="HY6" s="15"/>
      <c r="HZ6" s="61">
        <f t="shared" ref="HZ6:HZ67" si="58">HW6-HX6-HY6</f>
        <v>0.5</v>
      </c>
      <c r="IA6" s="66">
        <f t="shared" ref="IA6:IB67" si="59">IF($HW6&lt;&gt;0,HX6*$HV6/$HW6,0)</f>
        <v>0</v>
      </c>
      <c r="IB6" s="16">
        <f t="shared" si="59"/>
        <v>0</v>
      </c>
      <c r="IC6" s="59">
        <f t="shared" ref="IC6:IC67" si="60">HV6-IA6-IB6</f>
        <v>20000</v>
      </c>
      <c r="ID6" s="129">
        <f>19935.44+1428.57</f>
        <v>21364.01</v>
      </c>
      <c r="IE6" s="68">
        <v>0.5</v>
      </c>
      <c r="IF6" s="12"/>
      <c r="IG6" s="15"/>
      <c r="IH6" s="15"/>
      <c r="II6" s="15"/>
      <c r="IJ6" s="15"/>
      <c r="IK6" s="15"/>
      <c r="IL6" s="15"/>
      <c r="IM6" s="15"/>
      <c r="IN6" s="15">
        <v>0.5</v>
      </c>
      <c r="IO6" s="61">
        <f t="shared" ref="IO6:IO67" si="61">IE6-IF6-IG6-IH6-II6-IJ6-IK6-IL6-IM6-IN6</f>
        <v>0</v>
      </c>
      <c r="IP6" s="66">
        <f t="shared" ref="IP6:IP67" si="62">IF($IE6&lt;&gt;0,IF6*$ID6/$IE6,0)</f>
        <v>0</v>
      </c>
      <c r="IQ6" s="12">
        <f t="shared" ref="IQ6:IQ67" si="63">IF($IE6&lt;&gt;0,IG6*$ID6/$IE6,0)</f>
        <v>0</v>
      </c>
      <c r="IR6" s="12">
        <f t="shared" ref="IR6:IR67" si="64">IF($IE6&lt;&gt;0,IH6*$ID6/$IE6,0)</f>
        <v>0</v>
      </c>
      <c r="IS6" s="12">
        <f t="shared" ref="IS6:IS67" si="65">IF($IE6&lt;&gt;0,II6*$ID6/$IE6,0)</f>
        <v>0</v>
      </c>
      <c r="IT6" s="12">
        <f t="shared" ref="IT6:IT67" si="66">IF($IE6&lt;&gt;0,IJ6*$ID6/$IE6,0)</f>
        <v>0</v>
      </c>
      <c r="IU6" s="12">
        <f t="shared" ref="IU6:IU67" si="67">IF($IE6&lt;&gt;0,IK6*$ID6/$IE6,0)</f>
        <v>0</v>
      </c>
      <c r="IV6" s="12">
        <f t="shared" ref="IV6:IV67" si="68">IF($IE6&lt;&gt;0,IL6*$ID6/$IE6,0)</f>
        <v>0</v>
      </c>
      <c r="IW6" s="15">
        <f t="shared" ref="IW6:IX67" si="69">IF($IE6&lt;&gt;0,IM6*$ID6/$IE6,0)</f>
        <v>0</v>
      </c>
      <c r="IX6" s="16">
        <f t="shared" si="69"/>
        <v>21364.01</v>
      </c>
      <c r="IY6" s="59">
        <f t="shared" ref="IY6:IY67" si="70">ID6-IP6-IQ6-IR6-IS6-IT6-IU6-IV6-IW6-IX6</f>
        <v>0</v>
      </c>
      <c r="IZ6" s="129">
        <v>30000</v>
      </c>
      <c r="JA6" s="68">
        <v>0.5</v>
      </c>
      <c r="JB6" s="12"/>
      <c r="JC6" s="15"/>
      <c r="JD6" s="15"/>
      <c r="JE6" s="15"/>
      <c r="JF6" s="15"/>
      <c r="JG6" s="15"/>
      <c r="JH6" s="15"/>
      <c r="JI6" s="15"/>
      <c r="JJ6" s="15">
        <v>0.5</v>
      </c>
      <c r="JK6" s="61">
        <f t="shared" ref="JK6:JK42" si="71">JA6-JB6-JC6-JD6-JE6-JF6-JG6-JH6-JI6-JJ6</f>
        <v>0</v>
      </c>
      <c r="JL6" s="66">
        <f t="shared" ref="JL6:JL67" si="72">IF($JA6&lt;&gt;0,JB6*$IZ6/$JA6,0)</f>
        <v>0</v>
      </c>
      <c r="JM6" s="12">
        <f t="shared" ref="JM6:JM30" si="73">IF($JA6&lt;&gt;0,JC6*$IZ6/$JA6,0)</f>
        <v>0</v>
      </c>
      <c r="JN6" s="12">
        <f t="shared" ref="JN6:JN30" si="74">IF($JA6&lt;&gt;0,JD6*$IZ6/$JA6,0)</f>
        <v>0</v>
      </c>
      <c r="JO6" s="12">
        <f t="shared" ref="JO6:JO30" si="75">IF($JA6&lt;&gt;0,JE6*$IZ6/$JA6,0)</f>
        <v>0</v>
      </c>
      <c r="JP6" s="12">
        <f t="shared" ref="JP6:JP30" si="76">IF($JA6&lt;&gt;0,JF6*$IZ6/$JA6,0)</f>
        <v>0</v>
      </c>
      <c r="JQ6" s="12">
        <f t="shared" ref="JQ6:JQ30" si="77">IF($JA6&lt;&gt;0,JG6*$IZ6/$JA6,0)</f>
        <v>0</v>
      </c>
      <c r="JR6" s="12">
        <f t="shared" ref="JR6:JR30" si="78">IF($JA6&lt;&gt;0,JH6*$IZ6/$JA6,0)</f>
        <v>0</v>
      </c>
      <c r="JS6" s="12">
        <f t="shared" ref="JS6:JS30" si="79">IF($JA6&lt;&gt;0,JI6*$IZ6/$JA6,0)</f>
        <v>0</v>
      </c>
      <c r="JT6" s="16">
        <f t="shared" ref="JT6:JT30" si="80">IF($JA6&lt;&gt;0,JJ6*$IZ6/$JA6,0)</f>
        <v>30000</v>
      </c>
      <c r="JU6" s="59">
        <f t="shared" ref="JU6:JU67" si="81">IZ6-JL6-JM6-JN6-JO6-JP6-JQ6-JR6-JS6-JT6</f>
        <v>0</v>
      </c>
      <c r="JV6" s="129">
        <v>30000</v>
      </c>
      <c r="JW6" s="68">
        <v>0.5</v>
      </c>
      <c r="JX6" s="12"/>
      <c r="JY6" s="12"/>
      <c r="JZ6" s="15"/>
      <c r="KA6" s="15"/>
      <c r="KB6" s="15"/>
      <c r="KC6" s="15"/>
      <c r="KD6" s="15"/>
      <c r="KE6" s="15"/>
      <c r="KF6" s="15">
        <v>0.5</v>
      </c>
      <c r="KG6" s="61">
        <f t="shared" ref="KG6:KG67" si="82">JW6-JX6-JZ6-KA6-KB6-KC6-KD6-KE6-KF6-JY6</f>
        <v>0</v>
      </c>
      <c r="KH6" s="146">
        <f t="shared" ref="KH6:KI67" si="83">IF($JW6&lt;&gt;0,JX6*$JV6/$JW6,0)</f>
        <v>0</v>
      </c>
      <c r="KI6" s="12">
        <f t="shared" si="83"/>
        <v>0</v>
      </c>
      <c r="KJ6" s="12">
        <f t="shared" ref="KJ6:KJ67" si="84">IF($JW6&lt;&gt;0,JZ6*$JV6/$JW6,0)</f>
        <v>0</v>
      </c>
      <c r="KK6" s="12">
        <f t="shared" ref="KK6:KK67" si="85">IF($JW6&lt;&gt;0,KA6*$JV6/$JW6,0)</f>
        <v>0</v>
      </c>
      <c r="KL6" s="12">
        <f t="shared" ref="KL6:KL67" si="86">IF($JW6&lt;&gt;0,KB6*$JV6/$JW6,0)</f>
        <v>0</v>
      </c>
      <c r="KM6" s="12">
        <f t="shared" ref="KM6:KM67" si="87">IF($JW6&lt;&gt;0,KC6*$JV6/$JW6,0)</f>
        <v>0</v>
      </c>
      <c r="KN6" s="12">
        <f t="shared" ref="KN6:KN67" si="88">IF($JW6&lt;&gt;0,KD6*$JV6/$JW6,0)</f>
        <v>0</v>
      </c>
      <c r="KO6" s="12">
        <f t="shared" ref="KO6:KO67" si="89">IF($JW6&lt;&gt;0,KE6*$JV6/$JW6,0)</f>
        <v>0</v>
      </c>
      <c r="KP6" s="16">
        <f t="shared" ref="KP6:KP67" si="90">IF($JW6&lt;&gt;0,KF6*$JV6/$JW6,0)</f>
        <v>30000</v>
      </c>
      <c r="KQ6" s="59">
        <f t="shared" ref="KQ6:KQ67" si="91">JV6-KH6-KJ6-KK6-KL6-KM6-KN6-KO6-KP6-KI6</f>
        <v>0</v>
      </c>
      <c r="KR6" s="129">
        <v>30000</v>
      </c>
      <c r="KS6" s="68">
        <v>0.5</v>
      </c>
      <c r="KT6" s="12"/>
      <c r="KU6" s="15"/>
      <c r="KV6" s="15"/>
      <c r="KW6" s="15"/>
      <c r="KX6" s="15"/>
      <c r="KY6" s="15"/>
      <c r="KZ6" s="15"/>
      <c r="LA6" s="15">
        <v>0.5</v>
      </c>
      <c r="LB6" s="61">
        <f t="shared" ref="LB6:LB67" si="92">KS6-KT6-KU6-KV6-KW6-KX6-KY6-KZ6-LA6</f>
        <v>0</v>
      </c>
      <c r="LC6" s="66">
        <f t="shared" ref="LC6:LC67" si="93">IF($KS6&lt;&gt;0,KT6*$KR6/$KS6,0)</f>
        <v>0</v>
      </c>
      <c r="LD6" s="12">
        <f t="shared" ref="LD6:LD67" si="94">IF($KS6&lt;&gt;0,KU6*$KR6/$KS6,0)</f>
        <v>0</v>
      </c>
      <c r="LE6" s="12">
        <f t="shared" ref="LE6:LE67" si="95">IF($KS6&lt;&gt;0,KV6*$KR6/$KS6,0)</f>
        <v>0</v>
      </c>
      <c r="LF6" s="12">
        <f t="shared" ref="LF6:LF67" si="96">IF($KS6&lt;&gt;0,KW6*$KR6/$KS6,0)</f>
        <v>0</v>
      </c>
      <c r="LG6" s="12">
        <f t="shared" ref="LG6:LG67" si="97">IF($KS6&lt;&gt;0,KX6*$KR6/$KS6,0)</f>
        <v>0</v>
      </c>
      <c r="LH6" s="12">
        <f t="shared" ref="LH6:LH67" si="98">IF($KS6&lt;&gt;0,KY6*$KR6/$KS6,0)</f>
        <v>0</v>
      </c>
      <c r="LI6" s="12">
        <f t="shared" ref="LI6:LI67" si="99">IF($KS6&lt;&gt;0,KZ6*$KR6/$KS6,0)</f>
        <v>0</v>
      </c>
      <c r="LJ6" s="16">
        <f t="shared" ref="LJ6:LJ67" si="100">IF($KS6&lt;&gt;0,LA6*$KR6/$KS6,0)</f>
        <v>30000</v>
      </c>
      <c r="LK6" s="59">
        <f t="shared" ref="LK6:LK67" si="101">KR6-LC6-LD6-LE6-LF6-LG6-LH6-LI6-LJ6</f>
        <v>0</v>
      </c>
      <c r="LL6" s="129">
        <v>30000</v>
      </c>
      <c r="LM6" s="68">
        <v>0.5</v>
      </c>
      <c r="LN6" s="15"/>
      <c r="LO6" s="15"/>
      <c r="LP6" s="15"/>
      <c r="LQ6" s="15"/>
      <c r="LR6" s="15"/>
      <c r="LS6" s="15"/>
      <c r="LT6" s="15">
        <v>0.5</v>
      </c>
      <c r="LU6" s="61">
        <f t="shared" ref="LU6:LU67" si="102">LM6-LN6-LO6-LP6-LQ6-LR6-LS6-LT6</f>
        <v>0</v>
      </c>
      <c r="LV6" s="66">
        <f t="shared" ref="LV6:LV67" si="103">IF($LM6&lt;&gt;0,LN6*$LL6/$LM6,0)</f>
        <v>0</v>
      </c>
      <c r="LW6" s="12">
        <f t="shared" ref="LW6:LW67" si="104">IF($LM6&lt;&gt;0,LO6*$LL6/$LM6,0)</f>
        <v>0</v>
      </c>
      <c r="LX6" s="12">
        <f t="shared" ref="LX6:LX67" si="105">IF($LM6&lt;&gt;0,LP6*$LL6/$LM6,0)</f>
        <v>0</v>
      </c>
      <c r="LY6" s="12">
        <f t="shared" ref="LY6:LY67" si="106">IF($LM6&lt;&gt;0,LQ6*$LL6/$LM6,0)</f>
        <v>0</v>
      </c>
      <c r="LZ6" s="12">
        <f t="shared" ref="LZ6:LZ67" si="107">IF($LM6&lt;&gt;0,LR6*$LL6/$LM6,0)</f>
        <v>0</v>
      </c>
      <c r="MA6" s="12">
        <f t="shared" ref="MA6:MA67" si="108">IF($LM6&lt;&gt;0,LS6*$LL6/$LM6,0)</f>
        <v>0</v>
      </c>
      <c r="MB6" s="16">
        <f t="shared" ref="MB6:MB67" si="109">IF($LM6&lt;&gt;0,LT6*$LL6/$LM6,0)</f>
        <v>30000</v>
      </c>
      <c r="MC6" s="59">
        <f t="shared" ref="MC6:MC67" si="110">LL6-LV6-LW6-LX6-LY6-LZ6-MA6-MB6</f>
        <v>0</v>
      </c>
      <c r="MD6" s="129">
        <v>30000</v>
      </c>
      <c r="ME6" s="68">
        <v>0.5</v>
      </c>
      <c r="MF6" s="15"/>
      <c r="MG6" s="15"/>
      <c r="MH6" s="15"/>
      <c r="MI6" s="15"/>
      <c r="MJ6" s="15"/>
      <c r="MK6" s="15"/>
      <c r="ML6" s="15">
        <v>0.5</v>
      </c>
      <c r="MM6" s="61">
        <f t="shared" ref="MM6:MM67" si="111">ME6-MF6-MG6-MH6-MI6-MJ6-MK6-ML6</f>
        <v>0</v>
      </c>
      <c r="MN6" s="66">
        <f t="shared" ref="MN6:MN67" si="112">IF($ME6&lt;&gt;0,MF6*$MD6/$ME6,0)</f>
        <v>0</v>
      </c>
      <c r="MO6" s="12">
        <f t="shared" ref="MO6:MO67" si="113">IF($ME6&lt;&gt;0,MG6*$MD6/$ME6,0)</f>
        <v>0</v>
      </c>
      <c r="MP6" s="12">
        <f t="shared" ref="MP6:MP67" si="114">IF($ME6&lt;&gt;0,MH6*$MD6/$ME6,0)</f>
        <v>0</v>
      </c>
      <c r="MQ6" s="12">
        <f t="shared" ref="MQ6:MQ67" si="115">IF($ME6&lt;&gt;0,MI6*$MD6/$ME6,0)</f>
        <v>0</v>
      </c>
      <c r="MR6" s="12">
        <f t="shared" ref="MR6:MS67" si="116">IF($ME6&lt;&gt;0,MJ6*$MD6/$ME6,0)</f>
        <v>0</v>
      </c>
      <c r="MS6" s="12">
        <f t="shared" si="116"/>
        <v>0</v>
      </c>
      <c r="MT6" s="16">
        <f t="shared" ref="MT6:MT67" si="117">IF($ME6&lt;&gt;0,ML6*$MD6/$ME6,0)</f>
        <v>30000</v>
      </c>
      <c r="MU6" s="59">
        <f>MD6-MN6-MO6-MP6-MQ6-MR6-MS6-MT6</f>
        <v>0</v>
      </c>
      <c r="MV6" s="617">
        <v>30000</v>
      </c>
      <c r="MW6" s="619">
        <v>0.5</v>
      </c>
      <c r="MX6" s="15"/>
      <c r="MY6" s="15"/>
      <c r="MZ6" s="15"/>
      <c r="NA6" s="15"/>
      <c r="NB6" s="15"/>
      <c r="NC6" s="15"/>
      <c r="ND6" s="15">
        <v>0.5</v>
      </c>
      <c r="NE6" s="61">
        <f t="shared" ref="NE6:NE67" si="118">MW6-MX6-MY6-MZ6-NA6-NC6-ND6</f>
        <v>0</v>
      </c>
      <c r="NF6" s="66">
        <f t="shared" ref="NF6:NF67" si="119">IF($MW6&lt;&gt;0,MX6*$MV6/$MW6,0)</f>
        <v>0</v>
      </c>
      <c r="NG6" s="12">
        <f t="shared" ref="NG6:NG67" si="120">IF($MW6&lt;&gt;0,MY6*$MV6/$MW6,0)</f>
        <v>0</v>
      </c>
      <c r="NH6" s="12">
        <f t="shared" ref="NH6:NH67" si="121">IF($MW6&lt;&gt;0,MZ6*$MV6/$MW6,0)</f>
        <v>0</v>
      </c>
      <c r="NI6" s="12">
        <f t="shared" ref="NI6:NI67" si="122">IF($MW6&lt;&gt;0,NA6*$MV6/$MW6,0)</f>
        <v>0</v>
      </c>
      <c r="NJ6" s="12">
        <f t="shared" ref="NJ6:NK67" si="123">IF($MW6&lt;&gt;0,NB6*$MV6/$MW6,0)</f>
        <v>0</v>
      </c>
      <c r="NK6" s="12">
        <f t="shared" si="123"/>
        <v>0</v>
      </c>
      <c r="NL6" s="16">
        <f t="shared" ref="NL6:NL67" si="124">IF($MW6&lt;&gt;0,ND6*$MV6/$MW6,0)</f>
        <v>30000</v>
      </c>
      <c r="NM6" s="59">
        <f t="shared" ref="NM6:NM67" si="125">MV6-NF6-NG6-NH6-NI6-NJ6-NK6-NL6</f>
        <v>0</v>
      </c>
      <c r="NN6" s="617">
        <v>35000</v>
      </c>
      <c r="NO6" s="619">
        <v>0.5</v>
      </c>
      <c r="NP6" s="15"/>
      <c r="NQ6" s="15"/>
      <c r="NR6" s="15"/>
      <c r="NS6" s="15"/>
      <c r="NT6" s="15">
        <v>0.5</v>
      </c>
      <c r="NU6" s="61">
        <f t="shared" ref="NU6:NU67" si="126">NO6-NP6-NQ6-NR6-NS6-NT6</f>
        <v>0</v>
      </c>
      <c r="NV6" s="66">
        <f>IF($NO6&lt;&gt;0,NP6*$NN6/$NO6,0)</f>
        <v>0</v>
      </c>
      <c r="NW6" s="12">
        <f t="shared" ref="NW6:NW8" si="127">IF($NO6&lt;&gt;0,NQ6*$NN6/$NO6,0)</f>
        <v>0</v>
      </c>
      <c r="NX6" s="12">
        <f t="shared" ref="NX6:NX8" si="128">IF($NO6&lt;&gt;0,NR6*$NN6/$NO6,0)</f>
        <v>0</v>
      </c>
      <c r="NY6" s="12">
        <f t="shared" ref="NY6:NY8" si="129">IF($NO6&lt;&gt;0,NS6*$NN6/$NO6,0)</f>
        <v>0</v>
      </c>
      <c r="NZ6" s="16">
        <f t="shared" ref="NZ6:NZ8" si="130">IF($NO6&lt;&gt;0,NT6*$NN6/$NO6,0)</f>
        <v>35000</v>
      </c>
      <c r="OA6" s="59">
        <f t="shared" ref="OA6:OA67" si="131">NN6-NV6-NW6-NX6-NY6-NZ6</f>
        <v>0</v>
      </c>
      <c r="OB6" s="131">
        <v>35000</v>
      </c>
      <c r="OC6" s="133">
        <v>0.5</v>
      </c>
      <c r="OD6" s="15"/>
      <c r="OE6" s="15"/>
      <c r="OF6" s="15"/>
      <c r="OG6" s="15"/>
      <c r="OH6" s="15">
        <v>0.5</v>
      </c>
      <c r="OI6" s="61">
        <f>OC6-OD6-OE6-OF6-OG6-OH6</f>
        <v>0</v>
      </c>
      <c r="OJ6" s="66">
        <f t="shared" ref="OJ6:OJ67" si="132">IF($OC6&lt;&gt;0,OD6*$OB6/$OC6,0)</f>
        <v>0</v>
      </c>
      <c r="OK6" s="12">
        <f t="shared" ref="OK6:OK66" si="133">IF($OC6&lt;&gt;0,OE6*$OB6/$OC6,0)</f>
        <v>0</v>
      </c>
      <c r="OL6" s="12">
        <f t="shared" ref="OL6:OL67" si="134">IF($OC6&lt;&gt;0,OF6*$OB6/$OC6,0)</f>
        <v>0</v>
      </c>
      <c r="OM6" s="12">
        <f t="shared" ref="OM6:OM67" si="135">IF($OC6&lt;&gt;0,OG6*$OB6/$OC6,0)</f>
        <v>0</v>
      </c>
      <c r="ON6" s="16">
        <f t="shared" ref="ON6:ON67" si="136">IF($OC6&lt;&gt;0,OH6*$OB6/$OC6,0)</f>
        <v>35000</v>
      </c>
      <c r="OO6" s="59">
        <f t="shared" ref="OO6:OO67" si="137">OB6-OJ6-OK6-OL6-OM6-ON6</f>
        <v>0</v>
      </c>
      <c r="OP6" s="131">
        <v>35000</v>
      </c>
      <c r="OQ6" s="133">
        <v>0.5</v>
      </c>
      <c r="OR6" s="15"/>
      <c r="OS6" s="15"/>
      <c r="OT6" s="15"/>
      <c r="OU6" s="15"/>
      <c r="OV6" s="15">
        <v>0.5</v>
      </c>
      <c r="OW6" s="61">
        <f t="shared" ref="OW6:OW67" si="138">OQ6-OR6-OS6-OT6-OU6-OV6</f>
        <v>0</v>
      </c>
      <c r="OX6" s="66">
        <f t="shared" ref="OX6:OX67" si="139">IF($OQ6&lt;&gt;0,OR6*$OP6/$OQ6,0)</f>
        <v>0</v>
      </c>
      <c r="OY6" s="12">
        <f t="shared" ref="OY6:OY66" si="140">IF($OQ6&lt;&gt;0,OS6*$OP6/$OQ6,0)</f>
        <v>0</v>
      </c>
      <c r="OZ6" s="12">
        <f t="shared" ref="OZ6:OZ67" si="141">IF($OQ6&lt;&gt;0,OT6*$OP6/$OQ6,0)</f>
        <v>0</v>
      </c>
      <c r="PA6" s="12">
        <f t="shared" ref="PA6:PA67" si="142">IF($OQ6&lt;&gt;0,OU6*$OP6/$OQ6,0)</f>
        <v>0</v>
      </c>
      <c r="PB6" s="16">
        <f t="shared" ref="PB6:PB67" si="143">IF($OQ6&lt;&gt;0,OV6*$OP6/$OQ6,0)</f>
        <v>35000</v>
      </c>
      <c r="PC6" s="59">
        <f t="shared" ref="PC6:PC67" si="144">OP6-OX6-OY6-OZ6-PA6-PB6</f>
        <v>0</v>
      </c>
      <c r="PD6" s="131">
        <v>35000</v>
      </c>
      <c r="PE6" s="133">
        <v>0.5</v>
      </c>
      <c r="PF6" s="15"/>
      <c r="PG6" s="15"/>
      <c r="PH6" s="15"/>
      <c r="PI6" s="15"/>
      <c r="PJ6" s="15"/>
      <c r="PK6" s="61">
        <f t="shared" ref="PK6:PK67" si="145">PE6-PF6-PG6-PH6-PI6-PJ6</f>
        <v>0.5</v>
      </c>
      <c r="PL6" s="66">
        <f>IF($PE6&lt;&gt;0,PF6*$PD6/$PE6,0)</f>
        <v>0</v>
      </c>
      <c r="PM6" s="12">
        <f t="shared" ref="PM6" si="146">IF($PE6&lt;&gt;0,PG6*$PD6/$PE6,0)</f>
        <v>0</v>
      </c>
      <c r="PN6" s="12">
        <f t="shared" ref="PN6" si="147">IF($PE6&lt;&gt;0,PH6*$PD6/$PE6,0)</f>
        <v>0</v>
      </c>
      <c r="PO6" s="12">
        <f t="shared" ref="PO6" si="148">IF($PE6&lt;&gt;0,PI6*$PD6/$PE6,0)</f>
        <v>0</v>
      </c>
      <c r="PP6" s="16">
        <f t="shared" ref="PP6" si="149">IF($PE6&lt;&gt;0,PJ6*$PD6/$PE6,0)</f>
        <v>0</v>
      </c>
      <c r="PQ6" s="59">
        <f t="shared" ref="PQ6:PQ67" si="150">PD6-PL6-PM6-PN6-PO6-PP6</f>
        <v>35000</v>
      </c>
      <c r="PS6" s="885">
        <f t="shared" ref="PS6:PS67" si="151">PJ6+OV6+OH6+NT6+ND6+ML6+LT6+LA6+KF6+JJ6+IN6</f>
        <v>5</v>
      </c>
    </row>
    <row r="7" spans="2:435" x14ac:dyDescent="0.2">
      <c r="B7" s="24">
        <v>3</v>
      </c>
      <c r="C7" s="872" t="s">
        <v>285</v>
      </c>
      <c r="D7" s="26"/>
      <c r="E7" s="42"/>
      <c r="F7" s="31"/>
      <c r="G7" s="12"/>
      <c r="H7" s="12"/>
      <c r="I7" s="12"/>
      <c r="J7" s="12"/>
      <c r="K7" s="12"/>
      <c r="L7" s="15"/>
      <c r="M7" s="61"/>
      <c r="N7" s="31"/>
      <c r="O7" s="12"/>
      <c r="P7" s="12"/>
      <c r="Q7" s="12"/>
      <c r="R7" s="12"/>
      <c r="S7" s="12"/>
      <c r="T7" s="15"/>
      <c r="U7" s="59"/>
      <c r="V7" s="26"/>
      <c r="W7" s="42"/>
      <c r="X7" s="31"/>
      <c r="Y7" s="12"/>
      <c r="Z7" s="12"/>
      <c r="AA7" s="12"/>
      <c r="AB7" s="12"/>
      <c r="AC7" s="12"/>
      <c r="AD7" s="15"/>
      <c r="AE7" s="15"/>
      <c r="AF7" s="61"/>
      <c r="AG7" s="35"/>
      <c r="AH7" s="35"/>
      <c r="AI7" s="35"/>
      <c r="AJ7" s="35"/>
      <c r="AK7" s="35"/>
      <c r="AL7" s="35"/>
      <c r="AM7" s="35"/>
      <c r="AN7" s="35"/>
      <c r="AO7" s="62"/>
      <c r="AP7" s="26"/>
      <c r="AQ7" s="42"/>
      <c r="AR7" s="12"/>
      <c r="AS7" s="12"/>
      <c r="AT7" s="12"/>
      <c r="AU7" s="12"/>
      <c r="AV7" s="15"/>
      <c r="AW7" s="15"/>
      <c r="AX7" s="61"/>
      <c r="AY7" s="35"/>
      <c r="AZ7" s="35"/>
      <c r="BA7" s="35"/>
      <c r="BB7" s="35"/>
      <c r="BC7" s="35"/>
      <c r="BD7" s="34"/>
      <c r="BE7" s="59"/>
      <c r="BF7" s="26"/>
      <c r="BG7" s="42"/>
      <c r="BH7" s="12"/>
      <c r="BI7" s="12"/>
      <c r="BJ7" s="12"/>
      <c r="BK7" s="12"/>
      <c r="BL7" s="15"/>
      <c r="BM7" s="15"/>
      <c r="BN7" s="15"/>
      <c r="BO7" s="61"/>
      <c r="BP7" s="65"/>
      <c r="BQ7" s="33"/>
      <c r="BR7" s="33"/>
      <c r="BS7" s="33"/>
      <c r="BT7" s="33"/>
      <c r="BU7" s="33"/>
      <c r="BV7" s="34"/>
      <c r="BW7" s="59"/>
      <c r="BX7" s="69"/>
      <c r="BY7" s="68"/>
      <c r="BZ7" s="31"/>
      <c r="CA7" s="12"/>
      <c r="CB7" s="12"/>
      <c r="CC7" s="12"/>
      <c r="CD7" s="15"/>
      <c r="CE7" s="15"/>
      <c r="CF7" s="15"/>
      <c r="CG7" s="61"/>
      <c r="CH7" s="66"/>
      <c r="CI7" s="12"/>
      <c r="CJ7" s="12"/>
      <c r="CK7" s="12"/>
      <c r="CL7" s="12"/>
      <c r="CM7" s="12"/>
      <c r="CN7" s="16"/>
      <c r="CO7" s="59"/>
      <c r="CP7" s="69"/>
      <c r="CQ7" s="68"/>
      <c r="CR7" s="12"/>
      <c r="CS7" s="12"/>
      <c r="CT7" s="12"/>
      <c r="CU7" s="12"/>
      <c r="CV7" s="15"/>
      <c r="CW7" s="15"/>
      <c r="CX7" s="15"/>
      <c r="CY7" s="61"/>
      <c r="CZ7" s="66"/>
      <c r="DA7" s="12"/>
      <c r="DB7" s="12"/>
      <c r="DC7" s="12"/>
      <c r="DD7" s="12"/>
      <c r="DE7" s="12"/>
      <c r="DF7" s="16"/>
      <c r="DG7" s="59"/>
      <c r="DH7" s="69"/>
      <c r="DI7" s="68"/>
      <c r="DJ7" s="12"/>
      <c r="DK7" s="12"/>
      <c r="DL7" s="12"/>
      <c r="DM7" s="12"/>
      <c r="DN7" s="15"/>
      <c r="DO7" s="15"/>
      <c r="DP7" s="15"/>
      <c r="DQ7" s="61"/>
      <c r="DR7" s="66"/>
      <c r="DS7" s="12"/>
      <c r="DT7" s="12"/>
      <c r="DU7" s="12"/>
      <c r="DV7" s="12"/>
      <c r="DW7" s="12"/>
      <c r="DX7" s="16"/>
      <c r="DY7" s="59"/>
      <c r="DZ7" s="69"/>
      <c r="EA7" s="68"/>
      <c r="EB7" s="12"/>
      <c r="EC7" s="12"/>
      <c r="ED7" s="12"/>
      <c r="EE7" s="15"/>
      <c r="EF7" s="15"/>
      <c r="EG7" s="15"/>
      <c r="EH7" s="61"/>
      <c r="EI7" s="66"/>
      <c r="EJ7" s="12"/>
      <c r="EK7" s="12"/>
      <c r="EL7" s="12"/>
      <c r="EM7" s="12"/>
      <c r="EN7" s="16"/>
      <c r="EO7" s="59"/>
      <c r="EP7" s="69"/>
      <c r="EQ7" s="68"/>
      <c r="ER7" s="12"/>
      <c r="ES7" s="12"/>
      <c r="ET7" s="15"/>
      <c r="EU7" s="15"/>
      <c r="EV7" s="61"/>
      <c r="EW7" s="66"/>
      <c r="EX7" s="12"/>
      <c r="EY7" s="12"/>
      <c r="EZ7" s="16"/>
      <c r="FA7" s="59"/>
      <c r="FB7" s="69"/>
      <c r="FC7" s="68"/>
      <c r="FD7" s="12"/>
      <c r="FE7" s="15"/>
      <c r="FF7" s="15"/>
      <c r="FG7" s="61"/>
      <c r="FH7" s="66"/>
      <c r="FI7" s="12"/>
      <c r="FJ7" s="16"/>
      <c r="FK7" s="59"/>
      <c r="FL7" s="69"/>
      <c r="FM7" s="68"/>
      <c r="FN7" s="12"/>
      <c r="FO7" s="15"/>
      <c r="FP7" s="15"/>
      <c r="FQ7" s="15"/>
      <c r="FR7" s="15"/>
      <c r="FS7" s="61"/>
      <c r="FT7" s="66"/>
      <c r="FU7" s="12"/>
      <c r="FV7" s="12"/>
      <c r="FW7" s="12"/>
      <c r="FX7" s="16"/>
      <c r="FY7" s="59"/>
      <c r="FZ7" s="69"/>
      <c r="GA7" s="68"/>
      <c r="GB7" s="12"/>
      <c r="GC7" s="15"/>
      <c r="GD7" s="15"/>
      <c r="GE7" s="15"/>
      <c r="GF7" s="61"/>
      <c r="GG7" s="66"/>
      <c r="GH7" s="66"/>
      <c r="GI7" s="12"/>
      <c r="GJ7" s="12"/>
      <c r="GK7" s="31"/>
      <c r="GL7" s="123"/>
      <c r="GM7" s="410"/>
      <c r="GN7" s="414"/>
      <c r="GO7" s="68"/>
      <c r="GP7" s="12"/>
      <c r="GQ7" s="15"/>
      <c r="GR7" s="15"/>
      <c r="GS7" s="15"/>
      <c r="GT7" s="15"/>
      <c r="GU7" s="61"/>
      <c r="GV7" s="66"/>
      <c r="GW7" s="12"/>
      <c r="GX7" s="12"/>
      <c r="GY7" s="12"/>
      <c r="GZ7" s="16"/>
      <c r="HA7" s="59"/>
      <c r="HB7" s="69"/>
      <c r="HC7" s="68"/>
      <c r="HD7" s="12"/>
      <c r="HE7" s="15"/>
      <c r="HF7" s="15"/>
      <c r="HG7" s="15"/>
      <c r="HH7" s="15"/>
      <c r="HI7" s="15"/>
      <c r="HJ7" s="15"/>
      <c r="HK7" s="15"/>
      <c r="HL7" s="61"/>
      <c r="HM7" s="66"/>
      <c r="HN7" s="12"/>
      <c r="HO7" s="12"/>
      <c r="HP7" s="12"/>
      <c r="HQ7" s="12"/>
      <c r="HR7" s="12"/>
      <c r="HS7" s="12"/>
      <c r="HT7" s="16"/>
      <c r="HU7" s="59"/>
      <c r="HV7" s="69"/>
      <c r="HW7" s="68"/>
      <c r="HX7" s="12"/>
      <c r="HY7" s="15"/>
      <c r="HZ7" s="61"/>
      <c r="IA7" s="66"/>
      <c r="IB7" s="16"/>
      <c r="IC7" s="59"/>
      <c r="ID7" s="129"/>
      <c r="IE7" s="68"/>
      <c r="IF7" s="12"/>
      <c r="IG7" s="15"/>
      <c r="IH7" s="15"/>
      <c r="II7" s="15"/>
      <c r="IJ7" s="15"/>
      <c r="IK7" s="15"/>
      <c r="IL7" s="15"/>
      <c r="IM7" s="15"/>
      <c r="IN7" s="15"/>
      <c r="IO7" s="61"/>
      <c r="IP7" s="66"/>
      <c r="IQ7" s="12"/>
      <c r="IR7" s="12"/>
      <c r="IS7" s="12"/>
      <c r="IT7" s="12"/>
      <c r="IU7" s="12"/>
      <c r="IV7" s="12"/>
      <c r="IW7" s="15"/>
      <c r="IX7" s="16"/>
      <c r="IY7" s="59"/>
      <c r="IZ7" s="129"/>
      <c r="JA7" s="68"/>
      <c r="JB7" s="12"/>
      <c r="JC7" s="15"/>
      <c r="JD7" s="15"/>
      <c r="JE7" s="15"/>
      <c r="JF7" s="15"/>
      <c r="JG7" s="15"/>
      <c r="JH7" s="15"/>
      <c r="JI7" s="15"/>
      <c r="JJ7" s="15"/>
      <c r="JK7" s="61"/>
      <c r="JL7" s="66"/>
      <c r="JM7" s="12"/>
      <c r="JN7" s="12"/>
      <c r="JO7" s="12"/>
      <c r="JP7" s="12"/>
      <c r="JQ7" s="12"/>
      <c r="JR7" s="12"/>
      <c r="JS7" s="12"/>
      <c r="JT7" s="16"/>
      <c r="JU7" s="59"/>
      <c r="JV7" s="129"/>
      <c r="JW7" s="68"/>
      <c r="JX7" s="12"/>
      <c r="JY7" s="12"/>
      <c r="JZ7" s="15"/>
      <c r="KA7" s="15"/>
      <c r="KB7" s="15"/>
      <c r="KC7" s="15"/>
      <c r="KD7" s="15"/>
      <c r="KE7" s="15"/>
      <c r="KF7" s="15"/>
      <c r="KG7" s="61"/>
      <c r="KH7" s="146"/>
      <c r="KI7" s="12"/>
      <c r="KJ7" s="12"/>
      <c r="KK7" s="12"/>
      <c r="KL7" s="12"/>
      <c r="KM7" s="12"/>
      <c r="KN7" s="12"/>
      <c r="KO7" s="12"/>
      <c r="KP7" s="16"/>
      <c r="KQ7" s="59"/>
      <c r="KR7" s="129"/>
      <c r="KS7" s="68"/>
      <c r="KT7" s="12"/>
      <c r="KU7" s="15"/>
      <c r="KV7" s="15"/>
      <c r="KW7" s="15"/>
      <c r="KX7" s="15"/>
      <c r="KY7" s="15"/>
      <c r="KZ7" s="15"/>
      <c r="LA7" s="15"/>
      <c r="LB7" s="61"/>
      <c r="LC7" s="66"/>
      <c r="LD7" s="12"/>
      <c r="LE7" s="12"/>
      <c r="LF7" s="12"/>
      <c r="LG7" s="12"/>
      <c r="LH7" s="12"/>
      <c r="LI7" s="12"/>
      <c r="LJ7" s="16"/>
      <c r="LK7" s="59"/>
      <c r="LL7" s="129"/>
      <c r="LM7" s="68"/>
      <c r="LN7" s="15"/>
      <c r="LO7" s="15"/>
      <c r="LP7" s="15"/>
      <c r="LQ7" s="15"/>
      <c r="LR7" s="15"/>
      <c r="LS7" s="15"/>
      <c r="LT7" s="15"/>
      <c r="LU7" s="61"/>
      <c r="LV7" s="66"/>
      <c r="LW7" s="12"/>
      <c r="LX7" s="12"/>
      <c r="LY7" s="12"/>
      <c r="LZ7" s="12"/>
      <c r="MA7" s="12"/>
      <c r="MB7" s="16"/>
      <c r="MC7" s="59"/>
      <c r="MD7" s="129"/>
      <c r="ME7" s="68"/>
      <c r="MF7" s="15"/>
      <c r="MG7" s="15"/>
      <c r="MH7" s="15"/>
      <c r="MI7" s="15"/>
      <c r="MJ7" s="15"/>
      <c r="MK7" s="15"/>
      <c r="ML7" s="15"/>
      <c r="MM7" s="61">
        <f t="shared" si="111"/>
        <v>0</v>
      </c>
      <c r="MN7" s="66"/>
      <c r="MO7" s="12"/>
      <c r="MP7" s="12"/>
      <c r="MQ7" s="12"/>
      <c r="MR7" s="12"/>
      <c r="MS7" s="12"/>
      <c r="MT7" s="16"/>
      <c r="MU7" s="59"/>
      <c r="MV7" s="617">
        <v>20000</v>
      </c>
      <c r="MW7" s="619">
        <v>0.5</v>
      </c>
      <c r="MX7" s="15"/>
      <c r="MY7" s="15"/>
      <c r="MZ7" s="15"/>
      <c r="NA7" s="15"/>
      <c r="NB7" s="15"/>
      <c r="NC7" s="15"/>
      <c r="ND7" s="15"/>
      <c r="NE7" s="61">
        <f t="shared" si="118"/>
        <v>0.5</v>
      </c>
      <c r="NF7" s="66">
        <f t="shared" ref="NF7" si="152">IF($MW7&lt;&gt;0,MX7*$MV7/$MW7,0)</f>
        <v>0</v>
      </c>
      <c r="NG7" s="12">
        <f t="shared" ref="NG7" si="153">IF($MW7&lt;&gt;0,MY7*$MV7/$MW7,0)</f>
        <v>0</v>
      </c>
      <c r="NH7" s="12">
        <f t="shared" ref="NH7" si="154">IF($MW7&lt;&gt;0,MZ7*$MV7/$MW7,0)</f>
        <v>0</v>
      </c>
      <c r="NI7" s="12">
        <f t="shared" ref="NI7" si="155">IF($MW7&lt;&gt;0,NA7*$MV7/$MW7,0)</f>
        <v>0</v>
      </c>
      <c r="NJ7" s="12">
        <f t="shared" ref="NJ7" si="156">IF($MW7&lt;&gt;0,NB7*$MV7/$MW7,0)</f>
        <v>0</v>
      </c>
      <c r="NK7" s="12">
        <f t="shared" ref="NK7" si="157">IF($MW7&lt;&gt;0,NC7*$MV7/$MW7,0)</f>
        <v>0</v>
      </c>
      <c r="NL7" s="16">
        <f t="shared" ref="NL7" si="158">IF($MW7&lt;&gt;0,ND7*$MV7/$MW7,0)</f>
        <v>0</v>
      </c>
      <c r="NM7" s="59">
        <f t="shared" si="125"/>
        <v>20000</v>
      </c>
      <c r="NN7" s="617">
        <v>20000</v>
      </c>
      <c r="NO7" s="619">
        <v>0.5</v>
      </c>
      <c r="NP7" s="15"/>
      <c r="NQ7" s="15"/>
      <c r="NR7" s="15"/>
      <c r="NS7" s="15"/>
      <c r="NT7" s="15"/>
      <c r="NU7" s="61">
        <f t="shared" si="126"/>
        <v>0.5</v>
      </c>
      <c r="NV7" s="66">
        <f>IF($NO7&lt;&gt;0,NP7*$NN7/$NO7,0)</f>
        <v>0</v>
      </c>
      <c r="NW7" s="12">
        <f t="shared" ref="NW7" si="159">IF($NO7&lt;&gt;0,NQ7*$NN7/$NO7,0)</f>
        <v>0</v>
      </c>
      <c r="NX7" s="12">
        <f t="shared" ref="NX7" si="160">IF($NO7&lt;&gt;0,NR7*$NN7/$NO7,0)</f>
        <v>0</v>
      </c>
      <c r="NY7" s="12">
        <f t="shared" ref="NY7" si="161">IF($NO7&lt;&gt;0,NS7*$NN7/$NO7,0)</f>
        <v>0</v>
      </c>
      <c r="NZ7" s="16">
        <f t="shared" ref="NZ7" si="162">IF($NO7&lt;&gt;0,NT7*$NN7/$NO7,0)</f>
        <v>0</v>
      </c>
      <c r="OA7" s="59">
        <f t="shared" si="131"/>
        <v>20000</v>
      </c>
      <c r="OB7" s="131">
        <v>20000</v>
      </c>
      <c r="OC7" s="133">
        <v>0.5</v>
      </c>
      <c r="OD7" s="15"/>
      <c r="OE7" s="15"/>
      <c r="OF7" s="15"/>
      <c r="OG7" s="15"/>
      <c r="OH7" s="15"/>
      <c r="OI7" s="61">
        <f t="shared" ref="OI7:OI67" si="163">OC7-OD7-OE7-OF7-OG7-OH7</f>
        <v>0.5</v>
      </c>
      <c r="OJ7" s="66">
        <f t="shared" ref="OJ7" si="164">IF($OC7&lt;&gt;0,OD7*$OB7/$OC7,0)</f>
        <v>0</v>
      </c>
      <c r="OK7" s="12">
        <f t="shared" ref="OK7" si="165">IF($OC7&lt;&gt;0,OE7*$OB7/$OC7,0)</f>
        <v>0</v>
      </c>
      <c r="OL7" s="12">
        <f t="shared" ref="OL7" si="166">IF($OC7&lt;&gt;0,OF7*$OB7/$OC7,0)</f>
        <v>0</v>
      </c>
      <c r="OM7" s="12">
        <f t="shared" ref="OM7" si="167">IF($OC7&lt;&gt;0,OG7*$OB7/$OC7,0)</f>
        <v>0</v>
      </c>
      <c r="ON7" s="16">
        <f t="shared" ref="ON7" si="168">IF($OC7&lt;&gt;0,OH7*$OB7/$OC7,0)</f>
        <v>0</v>
      </c>
      <c r="OO7" s="59">
        <f t="shared" si="137"/>
        <v>20000</v>
      </c>
      <c r="OP7" s="131">
        <v>20000</v>
      </c>
      <c r="OQ7" s="133">
        <v>0.5</v>
      </c>
      <c r="OR7" s="15"/>
      <c r="OS7" s="15"/>
      <c r="OT7" s="15"/>
      <c r="OU7" s="15"/>
      <c r="OV7" s="15"/>
      <c r="OW7" s="61">
        <f t="shared" si="138"/>
        <v>0.5</v>
      </c>
      <c r="OX7" s="66">
        <f t="shared" ref="OX7" si="169">IF($OQ7&lt;&gt;0,OR7*$OP7/$OQ7,0)</f>
        <v>0</v>
      </c>
      <c r="OY7" s="12">
        <f t="shared" ref="OY7" si="170">IF($OQ7&lt;&gt;0,OS7*$OP7/$OQ7,0)</f>
        <v>0</v>
      </c>
      <c r="OZ7" s="12">
        <f t="shared" ref="OZ7" si="171">IF($OQ7&lt;&gt;0,OT7*$OP7/$OQ7,0)</f>
        <v>0</v>
      </c>
      <c r="PA7" s="12">
        <f t="shared" ref="PA7" si="172">IF($OQ7&lt;&gt;0,OU7*$OP7/$OQ7,0)</f>
        <v>0</v>
      </c>
      <c r="PB7" s="16">
        <f t="shared" ref="PB7" si="173">IF($OQ7&lt;&gt;0,OV7*$OP7/$OQ7,0)</f>
        <v>0</v>
      </c>
      <c r="PC7" s="59">
        <f t="shared" si="144"/>
        <v>20000</v>
      </c>
      <c r="PD7" s="131">
        <v>20000</v>
      </c>
      <c r="PE7" s="133">
        <v>0.5</v>
      </c>
      <c r="PF7" s="15"/>
      <c r="PG7" s="15"/>
      <c r="PH7" s="15"/>
      <c r="PI7" s="15"/>
      <c r="PJ7" s="15"/>
      <c r="PK7" s="61">
        <f t="shared" si="145"/>
        <v>0.5</v>
      </c>
      <c r="PL7" s="66">
        <f t="shared" ref="PL7:PL67" si="174">IF($PE7&lt;&gt;0,PF7*$PD7/$PE7,0)</f>
        <v>0</v>
      </c>
      <c r="PM7" s="12">
        <f t="shared" ref="PM7:PM67" si="175">IF($PE7&lt;&gt;0,PG7*$PD7/$PE7,0)</f>
        <v>0</v>
      </c>
      <c r="PN7" s="12">
        <f t="shared" ref="PN7:PN67" si="176">IF($PE7&lt;&gt;0,PH7*$PD7/$PE7,0)</f>
        <v>0</v>
      </c>
      <c r="PO7" s="12">
        <f t="shared" ref="PO7:PO67" si="177">IF($PE7&lt;&gt;0,PI7*$PD7/$PE7,0)</f>
        <v>0</v>
      </c>
      <c r="PP7" s="16">
        <f t="shared" ref="PP7:PP67" si="178">IF($PE7&lt;&gt;0,PJ7*$PD7/$PE7,0)</f>
        <v>0</v>
      </c>
      <c r="PQ7" s="59">
        <f t="shared" si="150"/>
        <v>20000</v>
      </c>
      <c r="PS7" s="884">
        <f t="shared" si="151"/>
        <v>0</v>
      </c>
    </row>
    <row r="8" spans="2:435" x14ac:dyDescent="0.2">
      <c r="B8" s="24">
        <v>4</v>
      </c>
      <c r="C8" s="25" t="s">
        <v>107</v>
      </c>
      <c r="D8" s="26"/>
      <c r="E8" s="42"/>
      <c r="F8" s="31"/>
      <c r="G8" s="12"/>
      <c r="H8" s="12"/>
      <c r="I8" s="12"/>
      <c r="J8" s="12"/>
      <c r="K8" s="12"/>
      <c r="L8" s="15"/>
      <c r="M8" s="61"/>
      <c r="N8" s="31"/>
      <c r="O8" s="12"/>
      <c r="P8" s="12"/>
      <c r="Q8" s="12"/>
      <c r="R8" s="12"/>
      <c r="S8" s="12"/>
      <c r="T8" s="15"/>
      <c r="U8" s="59"/>
      <c r="V8" s="26"/>
      <c r="W8" s="42"/>
      <c r="X8" s="31"/>
      <c r="Y8" s="12"/>
      <c r="Z8" s="12"/>
      <c r="AA8" s="12"/>
      <c r="AB8" s="12"/>
      <c r="AC8" s="12"/>
      <c r="AD8" s="15"/>
      <c r="AE8" s="15"/>
      <c r="AF8" s="61"/>
      <c r="AG8" s="35"/>
      <c r="AH8" s="35"/>
      <c r="AI8" s="35"/>
      <c r="AJ8" s="35"/>
      <c r="AK8" s="35"/>
      <c r="AL8" s="35"/>
      <c r="AM8" s="35"/>
      <c r="AN8" s="35"/>
      <c r="AO8" s="62"/>
      <c r="AP8" s="26"/>
      <c r="AQ8" s="42"/>
      <c r="AR8" s="12"/>
      <c r="AS8" s="12"/>
      <c r="AT8" s="12"/>
      <c r="AU8" s="12"/>
      <c r="AV8" s="15"/>
      <c r="AW8" s="15"/>
      <c r="AX8" s="61"/>
      <c r="AY8" s="35"/>
      <c r="AZ8" s="35"/>
      <c r="BA8" s="35"/>
      <c r="BB8" s="35"/>
      <c r="BC8" s="35"/>
      <c r="BD8" s="34"/>
      <c r="BE8" s="59"/>
      <c r="BF8" s="26"/>
      <c r="BG8" s="42"/>
      <c r="BH8" s="12"/>
      <c r="BI8" s="12"/>
      <c r="BJ8" s="12"/>
      <c r="BK8" s="12"/>
      <c r="BL8" s="15"/>
      <c r="BM8" s="15"/>
      <c r="BN8" s="15"/>
      <c r="BO8" s="61"/>
      <c r="BP8" s="65"/>
      <c r="BQ8" s="33"/>
      <c r="BR8" s="33"/>
      <c r="BS8" s="33"/>
      <c r="BT8" s="33"/>
      <c r="BU8" s="33"/>
      <c r="BV8" s="34"/>
      <c r="BW8" s="59"/>
      <c r="BX8" s="69"/>
      <c r="BY8" s="68"/>
      <c r="BZ8" s="31"/>
      <c r="CA8" s="12"/>
      <c r="CB8" s="12"/>
      <c r="CC8" s="12"/>
      <c r="CD8" s="15"/>
      <c r="CE8" s="15"/>
      <c r="CF8" s="15"/>
      <c r="CG8" s="61"/>
      <c r="CH8" s="66"/>
      <c r="CI8" s="12"/>
      <c r="CJ8" s="12"/>
      <c r="CK8" s="12"/>
      <c r="CL8" s="12"/>
      <c r="CM8" s="12"/>
      <c r="CN8" s="16"/>
      <c r="CO8" s="59"/>
      <c r="CP8" s="69"/>
      <c r="CQ8" s="68"/>
      <c r="CR8" s="12"/>
      <c r="CS8" s="12"/>
      <c r="CT8" s="12"/>
      <c r="CU8" s="12"/>
      <c r="CV8" s="15"/>
      <c r="CW8" s="15"/>
      <c r="CX8" s="15"/>
      <c r="CY8" s="61"/>
      <c r="CZ8" s="66"/>
      <c r="DA8" s="12"/>
      <c r="DB8" s="12"/>
      <c r="DC8" s="12"/>
      <c r="DD8" s="12"/>
      <c r="DE8" s="12"/>
      <c r="DF8" s="16"/>
      <c r="DG8" s="59"/>
      <c r="DH8" s="69"/>
      <c r="DI8" s="68"/>
      <c r="DJ8" s="12"/>
      <c r="DK8" s="12"/>
      <c r="DL8" s="12"/>
      <c r="DM8" s="12"/>
      <c r="DN8" s="15"/>
      <c r="DO8" s="15"/>
      <c r="DP8" s="15"/>
      <c r="DQ8" s="61"/>
      <c r="DR8" s="66"/>
      <c r="DS8" s="12"/>
      <c r="DT8" s="12"/>
      <c r="DU8" s="12"/>
      <c r="DV8" s="12"/>
      <c r="DW8" s="12"/>
      <c r="DX8" s="16"/>
      <c r="DY8" s="59"/>
      <c r="DZ8" s="69"/>
      <c r="EA8" s="68"/>
      <c r="EB8" s="12"/>
      <c r="EC8" s="12"/>
      <c r="ED8" s="12"/>
      <c r="EE8" s="15"/>
      <c r="EF8" s="15"/>
      <c r="EG8" s="15"/>
      <c r="EH8" s="61"/>
      <c r="EI8" s="66"/>
      <c r="EJ8" s="12"/>
      <c r="EK8" s="12"/>
      <c r="EL8" s="12"/>
      <c r="EM8" s="12"/>
      <c r="EN8" s="16"/>
      <c r="EO8" s="59"/>
      <c r="EP8" s="69"/>
      <c r="EQ8" s="68"/>
      <c r="ER8" s="12"/>
      <c r="ES8" s="12"/>
      <c r="ET8" s="15"/>
      <c r="EU8" s="15"/>
      <c r="EV8" s="61"/>
      <c r="EW8" s="66"/>
      <c r="EX8" s="12"/>
      <c r="EY8" s="12"/>
      <c r="EZ8" s="16"/>
      <c r="FA8" s="59"/>
      <c r="FB8" s="69"/>
      <c r="FC8" s="68"/>
      <c r="FD8" s="12"/>
      <c r="FE8" s="15"/>
      <c r="FF8" s="15"/>
      <c r="FG8" s="61"/>
      <c r="FH8" s="66"/>
      <c r="FI8" s="12"/>
      <c r="FJ8" s="16"/>
      <c r="FK8" s="59"/>
      <c r="FL8" s="69"/>
      <c r="FM8" s="68"/>
      <c r="FN8" s="12"/>
      <c r="FO8" s="15"/>
      <c r="FP8" s="15"/>
      <c r="FQ8" s="15"/>
      <c r="FR8" s="15"/>
      <c r="FS8" s="61"/>
      <c r="FT8" s="66"/>
      <c r="FU8" s="12"/>
      <c r="FV8" s="12"/>
      <c r="FW8" s="12"/>
      <c r="FX8" s="16"/>
      <c r="FY8" s="59"/>
      <c r="FZ8" s="69"/>
      <c r="GA8" s="68"/>
      <c r="GB8" s="12"/>
      <c r="GC8" s="15"/>
      <c r="GD8" s="15"/>
      <c r="GE8" s="15"/>
      <c r="GF8" s="61"/>
      <c r="GG8" s="66"/>
      <c r="GH8" s="66"/>
      <c r="GI8" s="12"/>
      <c r="GJ8" s="12">
        <f t="shared" ref="GJ8:GJ67" si="179">IF($GA8&lt;&gt;0,GC8*$FZ8/$GA8,0)</f>
        <v>0</v>
      </c>
      <c r="GK8" s="31"/>
      <c r="GL8" s="123"/>
      <c r="GM8" s="410"/>
      <c r="GN8" s="414"/>
      <c r="GO8" s="68"/>
      <c r="GP8" s="12"/>
      <c r="GQ8" s="15"/>
      <c r="GR8" s="15"/>
      <c r="GS8" s="15"/>
      <c r="GT8" s="15"/>
      <c r="GU8" s="61"/>
      <c r="GV8" s="66"/>
      <c r="GW8" s="12"/>
      <c r="GX8" s="12"/>
      <c r="GY8" s="12"/>
      <c r="GZ8" s="16"/>
      <c r="HA8" s="59"/>
      <c r="HB8" s="69"/>
      <c r="HC8" s="68"/>
      <c r="HD8" s="12"/>
      <c r="HE8" s="15"/>
      <c r="HF8" s="15"/>
      <c r="HG8" s="15"/>
      <c r="HH8" s="15"/>
      <c r="HI8" s="15"/>
      <c r="HJ8" s="15"/>
      <c r="HK8" s="15"/>
      <c r="HL8" s="61"/>
      <c r="HM8" s="66"/>
      <c r="HN8" s="12"/>
      <c r="HO8" s="12"/>
      <c r="HP8" s="12"/>
      <c r="HQ8" s="12"/>
      <c r="HR8" s="12"/>
      <c r="HS8" s="12"/>
      <c r="HT8" s="16"/>
      <c r="HU8" s="59"/>
      <c r="HV8" s="69"/>
      <c r="HW8" s="68"/>
      <c r="HX8" s="12"/>
      <c r="HY8" s="15"/>
      <c r="HZ8" s="61"/>
      <c r="IA8" s="66"/>
      <c r="IB8" s="16"/>
      <c r="IC8" s="59"/>
      <c r="ID8" s="129">
        <v>27142.86</v>
      </c>
      <c r="IE8" s="68">
        <f>27/31</f>
        <v>0.87</v>
      </c>
      <c r="IF8" s="12"/>
      <c r="IG8" s="15"/>
      <c r="IH8" s="15"/>
      <c r="II8" s="15">
        <v>0.5</v>
      </c>
      <c r="IJ8" s="15">
        <v>0.35</v>
      </c>
      <c r="IK8" s="15"/>
      <c r="IL8" s="15"/>
      <c r="IM8" s="15"/>
      <c r="IN8" s="15"/>
      <c r="IO8" s="61">
        <f t="shared" si="61"/>
        <v>0.02</v>
      </c>
      <c r="IP8" s="66">
        <f t="shared" ref="IP8:IP16" si="180">IF($IE8&lt;&gt;0,IF8*$ID8/$IE8,0)</f>
        <v>0</v>
      </c>
      <c r="IQ8" s="12">
        <f t="shared" ref="IQ8:IQ16" si="181">IF($IE8&lt;&gt;0,IG8*$ID8/$IE8,0)</f>
        <v>0</v>
      </c>
      <c r="IR8" s="12">
        <f t="shared" ref="IR8:IR16" si="182">IF($IE8&lt;&gt;0,IH8*$ID8/$IE8,0)</f>
        <v>0</v>
      </c>
      <c r="IS8" s="12">
        <f t="shared" ref="IS8:IS16" si="183">IF($IE8&lt;&gt;0,II8*$ID8/$IE8,0)</f>
        <v>15599.34</v>
      </c>
      <c r="IT8" s="12">
        <f t="shared" ref="IT8:IT16" si="184">IF($IE8&lt;&gt;0,IJ8*$ID8/$IE8,0)</f>
        <v>10919.54</v>
      </c>
      <c r="IU8" s="12">
        <f t="shared" ref="IU8:IU16" si="185">IF($IE8&lt;&gt;0,IK8*$ID8/$IE8,0)</f>
        <v>0</v>
      </c>
      <c r="IV8" s="12">
        <f t="shared" ref="IV8:IV16" si="186">IF($IE8&lt;&gt;0,IL8*$ID8/$IE8,0)</f>
        <v>0</v>
      </c>
      <c r="IW8" s="15">
        <f t="shared" ref="IW8:IW16" si="187">IF($IE8&lt;&gt;0,IM8*$ID8/$IE8,0)</f>
        <v>0</v>
      </c>
      <c r="IX8" s="16">
        <f t="shared" ref="IX8:IX16" si="188">IF($IE8&lt;&gt;0,IN8*$ID8/$IE8,0)</f>
        <v>0</v>
      </c>
      <c r="IY8" s="59">
        <f t="shared" si="70"/>
        <v>623.98</v>
      </c>
      <c r="IZ8" s="129">
        <v>30000</v>
      </c>
      <c r="JA8" s="68">
        <v>1</v>
      </c>
      <c r="JB8" s="12"/>
      <c r="JC8" s="15"/>
      <c r="JD8" s="15"/>
      <c r="JE8" s="15">
        <v>0.5</v>
      </c>
      <c r="JF8" s="15">
        <v>0.5</v>
      </c>
      <c r="JG8" s="15"/>
      <c r="JH8" s="15"/>
      <c r="JI8" s="15"/>
      <c r="JJ8" s="15"/>
      <c r="JK8" s="61">
        <f t="shared" si="71"/>
        <v>0</v>
      </c>
      <c r="JL8" s="66">
        <f t="shared" si="72"/>
        <v>0</v>
      </c>
      <c r="JM8" s="12">
        <f t="shared" si="73"/>
        <v>0</v>
      </c>
      <c r="JN8" s="12">
        <f t="shared" si="74"/>
        <v>0</v>
      </c>
      <c r="JO8" s="12">
        <f t="shared" si="75"/>
        <v>15000</v>
      </c>
      <c r="JP8" s="12">
        <f t="shared" si="76"/>
        <v>15000</v>
      </c>
      <c r="JQ8" s="12">
        <f t="shared" si="77"/>
        <v>0</v>
      </c>
      <c r="JR8" s="12">
        <f t="shared" si="78"/>
        <v>0</v>
      </c>
      <c r="JS8" s="12">
        <f t="shared" si="79"/>
        <v>0</v>
      </c>
      <c r="JT8" s="16">
        <f t="shared" si="80"/>
        <v>0</v>
      </c>
      <c r="JU8" s="59">
        <f t="shared" si="81"/>
        <v>0</v>
      </c>
      <c r="JV8" s="129">
        <v>30000</v>
      </c>
      <c r="JW8" s="68">
        <v>1</v>
      </c>
      <c r="JX8" s="12"/>
      <c r="JY8" s="12"/>
      <c r="JZ8" s="15"/>
      <c r="KA8" s="15">
        <v>0.5</v>
      </c>
      <c r="KB8" s="15">
        <v>0.5</v>
      </c>
      <c r="KC8" s="15"/>
      <c r="KD8" s="15"/>
      <c r="KE8" s="15"/>
      <c r="KF8" s="15"/>
      <c r="KG8" s="61">
        <f t="shared" si="82"/>
        <v>0</v>
      </c>
      <c r="KH8" s="146">
        <f t="shared" si="83"/>
        <v>0</v>
      </c>
      <c r="KI8" s="12">
        <f t="shared" si="83"/>
        <v>0</v>
      </c>
      <c r="KJ8" s="12">
        <f t="shared" si="84"/>
        <v>0</v>
      </c>
      <c r="KK8" s="12">
        <f t="shared" si="85"/>
        <v>15000</v>
      </c>
      <c r="KL8" s="12">
        <f t="shared" si="86"/>
        <v>15000</v>
      </c>
      <c r="KM8" s="12">
        <f t="shared" si="87"/>
        <v>0</v>
      </c>
      <c r="KN8" s="12">
        <f t="shared" si="88"/>
        <v>0</v>
      </c>
      <c r="KO8" s="12">
        <f t="shared" si="89"/>
        <v>0</v>
      </c>
      <c r="KP8" s="16">
        <f t="shared" si="90"/>
        <v>0</v>
      </c>
      <c r="KQ8" s="59">
        <f t="shared" si="91"/>
        <v>0</v>
      </c>
      <c r="KR8" s="129">
        <v>30000</v>
      </c>
      <c r="KS8" s="68">
        <v>1</v>
      </c>
      <c r="KT8" s="12"/>
      <c r="KU8" s="15"/>
      <c r="KV8" s="15">
        <v>1</v>
      </c>
      <c r="KW8" s="15"/>
      <c r="KX8" s="15"/>
      <c r="KY8" s="15"/>
      <c r="KZ8" s="15"/>
      <c r="LA8" s="15"/>
      <c r="LB8" s="61">
        <f t="shared" si="92"/>
        <v>0</v>
      </c>
      <c r="LC8" s="66">
        <f t="shared" si="93"/>
        <v>0</v>
      </c>
      <c r="LD8" s="12">
        <f t="shared" si="94"/>
        <v>0</v>
      </c>
      <c r="LE8" s="12">
        <f t="shared" si="95"/>
        <v>30000</v>
      </c>
      <c r="LF8" s="12">
        <f t="shared" si="96"/>
        <v>0</v>
      </c>
      <c r="LG8" s="12">
        <f t="shared" si="97"/>
        <v>0</v>
      </c>
      <c r="LH8" s="12">
        <f t="shared" si="98"/>
        <v>0</v>
      </c>
      <c r="LI8" s="12">
        <f t="shared" si="99"/>
        <v>0</v>
      </c>
      <c r="LJ8" s="16">
        <f t="shared" si="100"/>
        <v>0</v>
      </c>
      <c r="LK8" s="59">
        <f t="shared" si="101"/>
        <v>0</v>
      </c>
      <c r="LL8" s="129">
        <v>30000</v>
      </c>
      <c r="LM8" s="68">
        <v>1</v>
      </c>
      <c r="LN8" s="15"/>
      <c r="LO8" s="15">
        <v>0.25</v>
      </c>
      <c r="LP8" s="15">
        <v>0.5</v>
      </c>
      <c r="LQ8" s="15"/>
      <c r="LR8" s="15"/>
      <c r="LS8" s="15"/>
      <c r="LT8" s="15">
        <v>0.25</v>
      </c>
      <c r="LU8" s="61">
        <f t="shared" si="102"/>
        <v>0</v>
      </c>
      <c r="LV8" s="66">
        <f t="shared" si="103"/>
        <v>0</v>
      </c>
      <c r="LW8" s="12">
        <f t="shared" si="104"/>
        <v>7500</v>
      </c>
      <c r="LX8" s="12">
        <f t="shared" si="105"/>
        <v>15000</v>
      </c>
      <c r="LY8" s="12">
        <f t="shared" si="106"/>
        <v>0</v>
      </c>
      <c r="LZ8" s="12">
        <f t="shared" si="107"/>
        <v>0</v>
      </c>
      <c r="MA8" s="12">
        <f t="shared" si="108"/>
        <v>0</v>
      </c>
      <c r="MB8" s="16">
        <f t="shared" si="109"/>
        <v>7500</v>
      </c>
      <c r="MC8" s="59">
        <f t="shared" si="110"/>
        <v>0</v>
      </c>
      <c r="MD8" s="129">
        <v>30000</v>
      </c>
      <c r="ME8" s="68">
        <v>1</v>
      </c>
      <c r="MF8" s="15"/>
      <c r="MG8" s="15">
        <v>0.5</v>
      </c>
      <c r="MH8" s="15">
        <v>0.5</v>
      </c>
      <c r="MI8" s="15"/>
      <c r="MJ8" s="15"/>
      <c r="MK8" s="15"/>
      <c r="ML8" s="15"/>
      <c r="MM8" s="61">
        <f t="shared" si="111"/>
        <v>0</v>
      </c>
      <c r="MN8" s="66">
        <f t="shared" si="112"/>
        <v>0</v>
      </c>
      <c r="MO8" s="12">
        <f t="shared" si="113"/>
        <v>15000</v>
      </c>
      <c r="MP8" s="12">
        <f t="shared" si="114"/>
        <v>15000</v>
      </c>
      <c r="MQ8" s="12">
        <f t="shared" si="115"/>
        <v>0</v>
      </c>
      <c r="MR8" s="12">
        <f t="shared" si="116"/>
        <v>0</v>
      </c>
      <c r="MS8" s="12">
        <f t="shared" si="116"/>
        <v>0</v>
      </c>
      <c r="MT8" s="16">
        <f t="shared" si="117"/>
        <v>0</v>
      </c>
      <c r="MU8" s="59">
        <f t="shared" ref="MU8:MU67" si="189">MD8-MN8-MO8-MP8-MQ8-MR8-MS8-MT8</f>
        <v>0</v>
      </c>
      <c r="MV8" s="617">
        <v>30000</v>
      </c>
      <c r="MW8" s="619">
        <v>1</v>
      </c>
      <c r="MX8" s="15"/>
      <c r="MY8" s="15">
        <v>0.55000000000000004</v>
      </c>
      <c r="MZ8" s="15"/>
      <c r="NA8" s="15"/>
      <c r="NB8" s="15"/>
      <c r="NC8" s="15"/>
      <c r="ND8" s="15">
        <v>0.45</v>
      </c>
      <c r="NE8" s="61">
        <f t="shared" si="118"/>
        <v>0</v>
      </c>
      <c r="NF8" s="66">
        <f t="shared" si="119"/>
        <v>0</v>
      </c>
      <c r="NG8" s="12">
        <f t="shared" si="120"/>
        <v>16500</v>
      </c>
      <c r="NH8" s="12">
        <f t="shared" si="121"/>
        <v>0</v>
      </c>
      <c r="NI8" s="12">
        <f t="shared" si="122"/>
        <v>0</v>
      </c>
      <c r="NJ8" s="12">
        <f t="shared" si="123"/>
        <v>0</v>
      </c>
      <c r="NK8" s="12">
        <f t="shared" si="123"/>
        <v>0</v>
      </c>
      <c r="NL8" s="16">
        <f t="shared" si="124"/>
        <v>13500</v>
      </c>
      <c r="NM8" s="59">
        <f t="shared" si="125"/>
        <v>0</v>
      </c>
      <c r="NN8" s="617">
        <v>30000</v>
      </c>
      <c r="NO8" s="619">
        <v>1</v>
      </c>
      <c r="NP8" s="15"/>
      <c r="NQ8" s="15"/>
      <c r="NR8" s="15"/>
      <c r="NS8" s="15"/>
      <c r="NT8" s="15">
        <v>1</v>
      </c>
      <c r="NU8" s="61">
        <f t="shared" si="126"/>
        <v>0</v>
      </c>
      <c r="NV8" s="66">
        <f t="shared" ref="NV8:NV67" si="190">IF($NO8&lt;&gt;0,NP8*$NN8/$NO8,0)</f>
        <v>0</v>
      </c>
      <c r="NW8" s="12">
        <f t="shared" si="127"/>
        <v>0</v>
      </c>
      <c r="NX8" s="12">
        <f t="shared" si="128"/>
        <v>0</v>
      </c>
      <c r="NY8" s="12">
        <f t="shared" si="129"/>
        <v>0</v>
      </c>
      <c r="NZ8" s="16">
        <f t="shared" si="130"/>
        <v>30000</v>
      </c>
      <c r="OA8" s="59">
        <f t="shared" si="131"/>
        <v>0</v>
      </c>
      <c r="OB8" s="131">
        <v>29192.400000000001</v>
      </c>
      <c r="OC8" s="133">
        <v>1</v>
      </c>
      <c r="OD8" s="15"/>
      <c r="OE8" s="15"/>
      <c r="OF8" s="15"/>
      <c r="OG8" s="15"/>
      <c r="OH8" s="15">
        <v>1</v>
      </c>
      <c r="OI8" s="61">
        <f t="shared" si="163"/>
        <v>0</v>
      </c>
      <c r="OJ8" s="66">
        <f t="shared" si="132"/>
        <v>0</v>
      </c>
      <c r="OK8" s="12">
        <f t="shared" si="133"/>
        <v>0</v>
      </c>
      <c r="OL8" s="12">
        <f t="shared" si="134"/>
        <v>0</v>
      </c>
      <c r="OM8" s="12">
        <f t="shared" si="135"/>
        <v>0</v>
      </c>
      <c r="ON8" s="16">
        <f t="shared" si="136"/>
        <v>29192.400000000001</v>
      </c>
      <c r="OO8" s="59">
        <f t="shared" si="137"/>
        <v>0</v>
      </c>
      <c r="OP8" s="131">
        <v>30788.91</v>
      </c>
      <c r="OQ8" s="133">
        <v>1</v>
      </c>
      <c r="OR8" s="15"/>
      <c r="OS8" s="15"/>
      <c r="OT8" s="15"/>
      <c r="OU8" s="15"/>
      <c r="OV8" s="15">
        <v>1</v>
      </c>
      <c r="OW8" s="61">
        <f t="shared" si="138"/>
        <v>0</v>
      </c>
      <c r="OX8" s="66">
        <f t="shared" si="139"/>
        <v>0</v>
      </c>
      <c r="OY8" s="12">
        <f t="shared" si="140"/>
        <v>0</v>
      </c>
      <c r="OZ8" s="12">
        <f t="shared" si="141"/>
        <v>0</v>
      </c>
      <c r="PA8" s="12">
        <f t="shared" si="142"/>
        <v>0</v>
      </c>
      <c r="PB8" s="16">
        <f t="shared" si="143"/>
        <v>30788.91</v>
      </c>
      <c r="PC8" s="59">
        <f t="shared" si="144"/>
        <v>0</v>
      </c>
      <c r="PD8" s="131">
        <v>30000</v>
      </c>
      <c r="PE8" s="133">
        <v>1</v>
      </c>
      <c r="PF8" s="15"/>
      <c r="PG8" s="15"/>
      <c r="PH8" s="15"/>
      <c r="PI8" s="15"/>
      <c r="PJ8" s="15">
        <v>0.3</v>
      </c>
      <c r="PK8" s="61">
        <f t="shared" si="145"/>
        <v>0.7</v>
      </c>
      <c r="PL8" s="66">
        <f t="shared" si="174"/>
        <v>0</v>
      </c>
      <c r="PM8" s="12">
        <f t="shared" si="175"/>
        <v>0</v>
      </c>
      <c r="PN8" s="12">
        <f t="shared" si="176"/>
        <v>0</v>
      </c>
      <c r="PO8" s="12">
        <f t="shared" si="177"/>
        <v>0</v>
      </c>
      <c r="PP8" s="16">
        <f t="shared" si="178"/>
        <v>9000</v>
      </c>
      <c r="PQ8" s="59">
        <f t="shared" si="150"/>
        <v>21000</v>
      </c>
      <c r="PS8" s="885">
        <f t="shared" si="151"/>
        <v>4</v>
      </c>
    </row>
    <row r="9" spans="2:435" x14ac:dyDescent="0.2">
      <c r="B9" s="24">
        <v>5</v>
      </c>
      <c r="C9" s="70" t="s">
        <v>44</v>
      </c>
      <c r="D9" s="26"/>
      <c r="E9" s="42"/>
      <c r="F9" s="31"/>
      <c r="G9" s="12"/>
      <c r="H9" s="12"/>
      <c r="I9" s="12"/>
      <c r="J9" s="12"/>
      <c r="K9" s="12"/>
      <c r="L9" s="15"/>
      <c r="M9" s="61">
        <f t="shared" si="41"/>
        <v>0</v>
      </c>
      <c r="N9" s="31">
        <f t="shared" si="0"/>
        <v>0</v>
      </c>
      <c r="O9" s="12">
        <f t="shared" si="0"/>
        <v>0</v>
      </c>
      <c r="P9" s="12">
        <f t="shared" si="0"/>
        <v>0</v>
      </c>
      <c r="Q9" s="12">
        <f t="shared" si="0"/>
        <v>0</v>
      </c>
      <c r="R9" s="12">
        <f t="shared" si="0"/>
        <v>0</v>
      </c>
      <c r="S9" s="12">
        <f t="shared" si="0"/>
        <v>0</v>
      </c>
      <c r="T9" s="15">
        <f t="shared" si="0"/>
        <v>0</v>
      </c>
      <c r="U9" s="59">
        <f t="shared" ref="U9:U67" si="191">D9-N9-O9-P9-Q9-R9-S9-T9</f>
        <v>0</v>
      </c>
      <c r="V9" s="26"/>
      <c r="W9" s="42"/>
      <c r="X9" s="31"/>
      <c r="Y9" s="12"/>
      <c r="Z9" s="12"/>
      <c r="AA9" s="12"/>
      <c r="AB9" s="12"/>
      <c r="AC9" s="12"/>
      <c r="AD9" s="15"/>
      <c r="AE9" s="15"/>
      <c r="AF9" s="61">
        <f t="shared" si="42"/>
        <v>0</v>
      </c>
      <c r="AG9" s="35">
        <f t="shared" si="43"/>
        <v>0</v>
      </c>
      <c r="AH9" s="35">
        <f t="shared" si="1"/>
        <v>0</v>
      </c>
      <c r="AI9" s="35">
        <f t="shared" si="1"/>
        <v>0</v>
      </c>
      <c r="AJ9" s="35">
        <f t="shared" si="1"/>
        <v>0</v>
      </c>
      <c r="AK9" s="35">
        <f t="shared" si="1"/>
        <v>0</v>
      </c>
      <c r="AL9" s="35">
        <f t="shared" si="1"/>
        <v>0</v>
      </c>
      <c r="AM9" s="35">
        <f t="shared" si="1"/>
        <v>0</v>
      </c>
      <c r="AN9" s="35">
        <f t="shared" si="1"/>
        <v>0</v>
      </c>
      <c r="AO9" s="62">
        <f t="shared" si="44"/>
        <v>0</v>
      </c>
      <c r="AP9" s="26"/>
      <c r="AQ9" s="42"/>
      <c r="AR9" s="12"/>
      <c r="AS9" s="12"/>
      <c r="AT9" s="12"/>
      <c r="AU9" s="12"/>
      <c r="AV9" s="15"/>
      <c r="AW9" s="15"/>
      <c r="AX9" s="61">
        <f t="shared" si="45"/>
        <v>0</v>
      </c>
      <c r="AY9" s="35">
        <f t="shared" si="2"/>
        <v>0</v>
      </c>
      <c r="AZ9" s="35">
        <f t="shared" si="2"/>
        <v>0</v>
      </c>
      <c r="BA9" s="35">
        <f t="shared" si="2"/>
        <v>0</v>
      </c>
      <c r="BB9" s="35">
        <f t="shared" si="2"/>
        <v>0</v>
      </c>
      <c r="BC9" s="35">
        <f t="shared" si="2"/>
        <v>0</v>
      </c>
      <c r="BD9" s="34">
        <f t="shared" si="2"/>
        <v>0</v>
      </c>
      <c r="BE9" s="59">
        <f t="shared" si="46"/>
        <v>0</v>
      </c>
      <c r="BF9" s="26">
        <v>22500</v>
      </c>
      <c r="BG9" s="42">
        <v>0.5</v>
      </c>
      <c r="BH9" s="12"/>
      <c r="BI9" s="12"/>
      <c r="BJ9" s="12"/>
      <c r="BK9" s="12"/>
      <c r="BL9" s="15">
        <v>0.5</v>
      </c>
      <c r="BM9" s="15"/>
      <c r="BN9" s="15"/>
      <c r="BO9" s="61">
        <f t="shared" si="3"/>
        <v>0</v>
      </c>
      <c r="BP9" s="65">
        <f t="shared" si="4"/>
        <v>0</v>
      </c>
      <c r="BQ9" s="33">
        <f t="shared" si="4"/>
        <v>0</v>
      </c>
      <c r="BR9" s="33">
        <f t="shared" si="4"/>
        <v>0</v>
      </c>
      <c r="BS9" s="33">
        <f t="shared" si="4"/>
        <v>0</v>
      </c>
      <c r="BT9" s="33">
        <f t="shared" si="4"/>
        <v>22500</v>
      </c>
      <c r="BU9" s="33">
        <f t="shared" si="4"/>
        <v>0</v>
      </c>
      <c r="BV9" s="34">
        <f t="shared" si="4"/>
        <v>0</v>
      </c>
      <c r="BW9" s="59">
        <f t="shared" ref="BW9:BW67" si="192">BF9-BP9-BQ9-BR9-BS9-BT9-BU9-BV9</f>
        <v>0</v>
      </c>
      <c r="BX9" s="69">
        <v>22500</v>
      </c>
      <c r="BY9" s="68">
        <v>0.5</v>
      </c>
      <c r="BZ9" s="31"/>
      <c r="CA9" s="12"/>
      <c r="CB9" s="12"/>
      <c r="CC9" s="12"/>
      <c r="CD9" s="15">
        <v>0.5</v>
      </c>
      <c r="CE9" s="15"/>
      <c r="CF9" s="15"/>
      <c r="CG9" s="61">
        <f t="shared" si="5"/>
        <v>0</v>
      </c>
      <c r="CH9" s="66">
        <f t="shared" si="47"/>
        <v>0</v>
      </c>
      <c r="CI9" s="12">
        <f t="shared" si="6"/>
        <v>0</v>
      </c>
      <c r="CJ9" s="12">
        <f t="shared" si="6"/>
        <v>0</v>
      </c>
      <c r="CK9" s="12">
        <f t="shared" si="6"/>
        <v>0</v>
      </c>
      <c r="CL9" s="12">
        <f t="shared" si="6"/>
        <v>22500</v>
      </c>
      <c r="CM9" s="12">
        <f t="shared" si="6"/>
        <v>0</v>
      </c>
      <c r="CN9" s="16">
        <f t="shared" si="6"/>
        <v>0</v>
      </c>
      <c r="CO9" s="59">
        <f t="shared" ref="CO9:CO67" si="193">BX9-CH9-CI9-CJ9-CK9-CL9-CM9-CN9</f>
        <v>0</v>
      </c>
      <c r="CP9" s="69">
        <v>22500</v>
      </c>
      <c r="CQ9" s="68">
        <v>0.5</v>
      </c>
      <c r="CR9" s="12"/>
      <c r="CS9" s="12"/>
      <c r="CT9" s="12"/>
      <c r="CU9" s="12"/>
      <c r="CV9" s="15">
        <v>0.5</v>
      </c>
      <c r="CW9" s="15"/>
      <c r="CX9" s="15"/>
      <c r="CY9" s="61">
        <f t="shared" si="7"/>
        <v>0</v>
      </c>
      <c r="CZ9" s="66">
        <f t="shared" ref="CZ9:DF67" si="194">IF($CQ9&lt;&gt;0,CR9*$CP9/$CQ9,0)</f>
        <v>0</v>
      </c>
      <c r="DA9" s="12">
        <f>IF($CQ9&lt;&gt;0,CS9*$CP9/$CQ9,0)</f>
        <v>0</v>
      </c>
      <c r="DB9" s="12">
        <f t="shared" si="8"/>
        <v>0</v>
      </c>
      <c r="DC9" s="12">
        <f t="shared" si="8"/>
        <v>0</v>
      </c>
      <c r="DD9" s="12">
        <f t="shared" si="8"/>
        <v>22500</v>
      </c>
      <c r="DE9" s="12">
        <f t="shared" si="8"/>
        <v>0</v>
      </c>
      <c r="DF9" s="16">
        <f t="shared" si="8"/>
        <v>0</v>
      </c>
      <c r="DG9" s="59">
        <f t="shared" ref="DG9:DG67" si="195">CP9-CZ9-DA9-DB9-DC9-DD9-DE9-DF9</f>
        <v>0</v>
      </c>
      <c r="DH9" s="69">
        <v>22500</v>
      </c>
      <c r="DI9" s="68">
        <v>0.5</v>
      </c>
      <c r="DJ9" s="12"/>
      <c r="DK9" s="12"/>
      <c r="DL9" s="12"/>
      <c r="DM9" s="12"/>
      <c r="DN9" s="15">
        <v>0.5</v>
      </c>
      <c r="DO9" s="15"/>
      <c r="DP9" s="15"/>
      <c r="DQ9" s="61">
        <f t="shared" si="9"/>
        <v>0</v>
      </c>
      <c r="DR9" s="66">
        <f t="shared" si="48"/>
        <v>0</v>
      </c>
      <c r="DS9" s="12">
        <f t="shared" si="10"/>
        <v>0</v>
      </c>
      <c r="DT9" s="12">
        <f t="shared" si="10"/>
        <v>0</v>
      </c>
      <c r="DU9" s="12">
        <f t="shared" si="10"/>
        <v>0</v>
      </c>
      <c r="DV9" s="12">
        <f t="shared" si="10"/>
        <v>22500</v>
      </c>
      <c r="DW9" s="12">
        <f t="shared" si="10"/>
        <v>0</v>
      </c>
      <c r="DX9" s="16">
        <f t="shared" si="10"/>
        <v>0</v>
      </c>
      <c r="DY9" s="59">
        <f t="shared" ref="DY9:DY67" si="196">DH9-DR9-DS9-DT9-DU9-DV9-DW9-DX9</f>
        <v>0</v>
      </c>
      <c r="DZ9" s="69">
        <v>22500</v>
      </c>
      <c r="EA9" s="68">
        <v>0.5</v>
      </c>
      <c r="EB9" s="12"/>
      <c r="EC9" s="12"/>
      <c r="ED9" s="12"/>
      <c r="EE9" s="15"/>
      <c r="EF9" s="15"/>
      <c r="EG9" s="15">
        <v>0.5</v>
      </c>
      <c r="EH9" s="61">
        <f t="shared" ref="EH9:EH67" si="197">EA9-EB9-EC9-ED9-EE9-EF9-EG9</f>
        <v>0</v>
      </c>
      <c r="EI9" s="66">
        <f t="shared" si="11"/>
        <v>0</v>
      </c>
      <c r="EJ9" s="12">
        <f t="shared" si="11"/>
        <v>0</v>
      </c>
      <c r="EK9" s="12">
        <f t="shared" si="11"/>
        <v>0</v>
      </c>
      <c r="EL9" s="12">
        <f t="shared" si="11"/>
        <v>0</v>
      </c>
      <c r="EM9" s="12">
        <f t="shared" si="11"/>
        <v>0</v>
      </c>
      <c r="EN9" s="16">
        <f t="shared" si="11"/>
        <v>22500</v>
      </c>
      <c r="EO9" s="59">
        <f t="shared" ref="EO9:EO67" si="198">DZ9-EI9-EJ9-EK9-EL9-EM9-EN9</f>
        <v>0</v>
      </c>
      <c r="EP9" s="69">
        <v>22500</v>
      </c>
      <c r="EQ9" s="68">
        <v>0.5</v>
      </c>
      <c r="ER9" s="12"/>
      <c r="ES9" s="12"/>
      <c r="ET9" s="15"/>
      <c r="EU9" s="15">
        <v>0.5</v>
      </c>
      <c r="EV9" s="61">
        <f t="shared" ref="EV9:EV67" si="199">EQ9-ER9-ES9-ET9-EU9</f>
        <v>0</v>
      </c>
      <c r="EW9" s="66">
        <f t="shared" si="49"/>
        <v>0</v>
      </c>
      <c r="EX9" s="12">
        <f t="shared" si="49"/>
        <v>0</v>
      </c>
      <c r="EY9" s="12">
        <f t="shared" si="49"/>
        <v>0</v>
      </c>
      <c r="EZ9" s="16">
        <f t="shared" si="49"/>
        <v>22500</v>
      </c>
      <c r="FA9" s="59">
        <f t="shared" ref="FA9:FA67" si="200">EP9-EW9-EX9-EY9-EZ9</f>
        <v>0</v>
      </c>
      <c r="FB9" s="69">
        <v>22500</v>
      </c>
      <c r="FC9" s="68">
        <v>0.5</v>
      </c>
      <c r="FD9" s="12"/>
      <c r="FE9" s="15"/>
      <c r="FF9" s="15">
        <v>0.5</v>
      </c>
      <c r="FG9" s="61">
        <f t="shared" ref="FG9:FG67" si="201">FC9-FD9-FE9-FF9</f>
        <v>0</v>
      </c>
      <c r="FH9" s="66">
        <f t="shared" si="50"/>
        <v>0</v>
      </c>
      <c r="FI9" s="12">
        <f t="shared" si="50"/>
        <v>0</v>
      </c>
      <c r="FJ9" s="16">
        <f t="shared" si="50"/>
        <v>22500</v>
      </c>
      <c r="FK9" s="59">
        <f t="shared" ref="FK9:FK67" si="202">FB9-FH9-FI9-FJ9</f>
        <v>0</v>
      </c>
      <c r="FL9" s="69">
        <v>22500</v>
      </c>
      <c r="FM9" s="68">
        <v>0.5</v>
      </c>
      <c r="FN9" s="12"/>
      <c r="FO9" s="15"/>
      <c r="FP9" s="15"/>
      <c r="FQ9" s="15"/>
      <c r="FR9" s="15">
        <v>0.5</v>
      </c>
      <c r="FS9" s="61">
        <f t="shared" ref="FS9:FS67" si="203">FM9-FN9-FO9-FR9-FP9-FQ9</f>
        <v>0</v>
      </c>
      <c r="FT9" s="66">
        <f t="shared" ref="FT9:FT42" si="204">IF($FM9&lt;&gt;0,FN9*$FL9/$FM9,0)</f>
        <v>0</v>
      </c>
      <c r="FU9" s="12">
        <f t="shared" ref="FU9:FU42" si="205">IF($FM9&lt;&gt;0,FO9*$FL9/$FM9,0)</f>
        <v>0</v>
      </c>
      <c r="FV9" s="12">
        <f t="shared" ref="FV9:FV67" si="206">IF($FM9&lt;&gt;0,FP9*$FL9/$FM9,0)</f>
        <v>0</v>
      </c>
      <c r="FW9" s="12">
        <f t="shared" ref="FW9:FW67" si="207">IF($FM9&lt;&gt;0,FQ9*$FL9/$FM9,0)</f>
        <v>0</v>
      </c>
      <c r="FX9" s="16">
        <f t="shared" si="51"/>
        <v>22500</v>
      </c>
      <c r="FY9" s="59">
        <f t="shared" si="52"/>
        <v>0</v>
      </c>
      <c r="FZ9" s="69">
        <v>22500</v>
      </c>
      <c r="GA9" s="68">
        <v>0.5</v>
      </c>
      <c r="GB9" s="12">
        <v>0.5</v>
      </c>
      <c r="GC9" s="15"/>
      <c r="GD9" s="15"/>
      <c r="GE9" s="15"/>
      <c r="GF9" s="61">
        <f t="shared" ref="GF9:GF67" si="208">GA9-GB9-GC9-GD9-GE9</f>
        <v>0</v>
      </c>
      <c r="GG9" s="66">
        <f t="shared" si="53"/>
        <v>22500</v>
      </c>
      <c r="GH9" s="66">
        <f t="shared" si="12"/>
        <v>22500</v>
      </c>
      <c r="GI9" s="12">
        <f t="shared" si="13"/>
        <v>0</v>
      </c>
      <c r="GJ9" s="12">
        <f t="shared" si="179"/>
        <v>0</v>
      </c>
      <c r="GK9" s="31">
        <f t="shared" si="14"/>
        <v>0</v>
      </c>
      <c r="GL9" s="123">
        <f t="shared" si="15"/>
        <v>0</v>
      </c>
      <c r="GM9" s="410">
        <f t="shared" si="16"/>
        <v>0</v>
      </c>
      <c r="GN9" s="414">
        <v>22500</v>
      </c>
      <c r="GO9" s="68">
        <v>0.5</v>
      </c>
      <c r="GP9" s="12">
        <v>0.5</v>
      </c>
      <c r="GQ9" s="15"/>
      <c r="GR9" s="15"/>
      <c r="GS9" s="15"/>
      <c r="GT9" s="15"/>
      <c r="GU9" s="61">
        <f t="shared" si="54"/>
        <v>0</v>
      </c>
      <c r="GV9" s="66">
        <f t="shared" si="17"/>
        <v>22500</v>
      </c>
      <c r="GW9" s="12">
        <f t="shared" si="18"/>
        <v>0</v>
      </c>
      <c r="GX9" s="12">
        <f t="shared" si="19"/>
        <v>0</v>
      </c>
      <c r="GY9" s="12">
        <f t="shared" si="20"/>
        <v>0</v>
      </c>
      <c r="GZ9" s="16">
        <f t="shared" si="21"/>
        <v>0</v>
      </c>
      <c r="HA9" s="59">
        <f t="shared" si="55"/>
        <v>0</v>
      </c>
      <c r="HB9" s="69">
        <v>27000</v>
      </c>
      <c r="HC9" s="68">
        <v>0.5</v>
      </c>
      <c r="HD9" s="12"/>
      <c r="HE9" s="15"/>
      <c r="HF9" s="15">
        <v>0.35</v>
      </c>
      <c r="HG9" s="15"/>
      <c r="HH9" s="15"/>
      <c r="HI9" s="15">
        <v>0.15</v>
      </c>
      <c r="HJ9" s="15"/>
      <c r="HK9" s="15"/>
      <c r="HL9" s="61">
        <f t="shared" si="56"/>
        <v>0</v>
      </c>
      <c r="HM9" s="66">
        <f t="shared" si="22"/>
        <v>0</v>
      </c>
      <c r="HN9" s="12">
        <f t="shared" si="23"/>
        <v>0</v>
      </c>
      <c r="HO9" s="12">
        <f t="shared" si="24"/>
        <v>18900</v>
      </c>
      <c r="HP9" s="12">
        <f t="shared" si="25"/>
        <v>0</v>
      </c>
      <c r="HQ9" s="12">
        <f t="shared" si="26"/>
        <v>0</v>
      </c>
      <c r="HR9" s="12">
        <f t="shared" si="27"/>
        <v>8100</v>
      </c>
      <c r="HS9" s="12">
        <f t="shared" si="28"/>
        <v>0</v>
      </c>
      <c r="HT9" s="16">
        <f t="shared" si="29"/>
        <v>0</v>
      </c>
      <c r="HU9" s="59">
        <f t="shared" si="57"/>
        <v>0</v>
      </c>
      <c r="HV9" s="69">
        <v>22500</v>
      </c>
      <c r="HW9" s="68">
        <v>0.5</v>
      </c>
      <c r="HX9" s="12"/>
      <c r="HY9" s="15"/>
      <c r="HZ9" s="61">
        <f t="shared" si="58"/>
        <v>0.5</v>
      </c>
      <c r="IA9" s="66">
        <f t="shared" si="59"/>
        <v>0</v>
      </c>
      <c r="IB9" s="16">
        <f t="shared" si="59"/>
        <v>0</v>
      </c>
      <c r="IC9" s="59">
        <f t="shared" si="60"/>
        <v>22500</v>
      </c>
      <c r="ID9" s="129">
        <f>21818.16+1285.71</f>
        <v>23103.87</v>
      </c>
      <c r="IE9" s="68">
        <v>0.5</v>
      </c>
      <c r="IF9" s="12"/>
      <c r="IG9" s="15"/>
      <c r="IH9" s="15">
        <v>0.5</v>
      </c>
      <c r="II9" s="15"/>
      <c r="IJ9" s="15"/>
      <c r="IK9" s="15"/>
      <c r="IL9" s="15"/>
      <c r="IM9" s="15"/>
      <c r="IN9" s="15"/>
      <c r="IO9" s="61">
        <f t="shared" si="61"/>
        <v>0</v>
      </c>
      <c r="IP9" s="66">
        <f t="shared" si="180"/>
        <v>0</v>
      </c>
      <c r="IQ9" s="12">
        <f t="shared" si="181"/>
        <v>0</v>
      </c>
      <c r="IR9" s="12">
        <f t="shared" si="182"/>
        <v>23103.87</v>
      </c>
      <c r="IS9" s="12">
        <f t="shared" si="183"/>
        <v>0</v>
      </c>
      <c r="IT9" s="12">
        <f t="shared" si="184"/>
        <v>0</v>
      </c>
      <c r="IU9" s="12">
        <f t="shared" si="185"/>
        <v>0</v>
      </c>
      <c r="IV9" s="12">
        <f t="shared" si="186"/>
        <v>0</v>
      </c>
      <c r="IW9" s="15">
        <f t="shared" si="187"/>
        <v>0</v>
      </c>
      <c r="IX9" s="16">
        <f t="shared" si="188"/>
        <v>0</v>
      </c>
      <c r="IY9" s="59">
        <f t="shared" si="70"/>
        <v>0</v>
      </c>
      <c r="IZ9" s="129">
        <v>27000</v>
      </c>
      <c r="JA9" s="68">
        <v>0.5</v>
      </c>
      <c r="JB9" s="12"/>
      <c r="JC9" s="15"/>
      <c r="JD9" s="15">
        <v>0.5</v>
      </c>
      <c r="JE9" s="15"/>
      <c r="JF9" s="15"/>
      <c r="JG9" s="15"/>
      <c r="JH9" s="15"/>
      <c r="JI9" s="15"/>
      <c r="JJ9" s="15"/>
      <c r="JK9" s="61">
        <f t="shared" si="71"/>
        <v>0</v>
      </c>
      <c r="JL9" s="66">
        <f t="shared" si="72"/>
        <v>0</v>
      </c>
      <c r="JM9" s="12">
        <f t="shared" si="73"/>
        <v>0</v>
      </c>
      <c r="JN9" s="12">
        <f t="shared" si="74"/>
        <v>27000</v>
      </c>
      <c r="JO9" s="12">
        <f t="shared" si="75"/>
        <v>0</v>
      </c>
      <c r="JP9" s="12">
        <f t="shared" si="76"/>
        <v>0</v>
      </c>
      <c r="JQ9" s="12">
        <f t="shared" si="77"/>
        <v>0</v>
      </c>
      <c r="JR9" s="12">
        <f t="shared" si="78"/>
        <v>0</v>
      </c>
      <c r="JS9" s="12">
        <f t="shared" si="79"/>
        <v>0</v>
      </c>
      <c r="JT9" s="16">
        <f t="shared" si="80"/>
        <v>0</v>
      </c>
      <c r="JU9" s="59">
        <f t="shared" si="81"/>
        <v>0</v>
      </c>
      <c r="JV9" s="129">
        <v>27000</v>
      </c>
      <c r="JW9" s="68">
        <v>0.5</v>
      </c>
      <c r="JX9" s="12"/>
      <c r="JY9" s="12"/>
      <c r="JZ9" s="15">
        <v>0.5</v>
      </c>
      <c r="KA9" s="15"/>
      <c r="KB9" s="15"/>
      <c r="KC9" s="15"/>
      <c r="KD9" s="15"/>
      <c r="KE9" s="15"/>
      <c r="KF9" s="15"/>
      <c r="KG9" s="61">
        <f t="shared" si="82"/>
        <v>0</v>
      </c>
      <c r="KH9" s="146">
        <f t="shared" si="83"/>
        <v>0</v>
      </c>
      <c r="KI9" s="12">
        <f t="shared" si="83"/>
        <v>0</v>
      </c>
      <c r="KJ9" s="12">
        <f t="shared" si="84"/>
        <v>27000</v>
      </c>
      <c r="KK9" s="12">
        <f t="shared" si="85"/>
        <v>0</v>
      </c>
      <c r="KL9" s="12">
        <f t="shared" si="86"/>
        <v>0</v>
      </c>
      <c r="KM9" s="12">
        <f t="shared" si="87"/>
        <v>0</v>
      </c>
      <c r="KN9" s="12">
        <f t="shared" si="88"/>
        <v>0</v>
      </c>
      <c r="KO9" s="12">
        <f t="shared" si="89"/>
        <v>0</v>
      </c>
      <c r="KP9" s="16">
        <f t="shared" si="90"/>
        <v>0</v>
      </c>
      <c r="KQ9" s="59">
        <f t="shared" si="91"/>
        <v>0</v>
      </c>
      <c r="KR9" s="129">
        <v>27000</v>
      </c>
      <c r="KS9" s="68">
        <v>0.5</v>
      </c>
      <c r="KT9" s="12"/>
      <c r="KU9" s="15">
        <v>0.5</v>
      </c>
      <c r="KV9" s="15"/>
      <c r="KW9" s="15"/>
      <c r="KX9" s="15"/>
      <c r="KY9" s="15"/>
      <c r="KZ9" s="15"/>
      <c r="LA9" s="15"/>
      <c r="LB9" s="61">
        <f t="shared" si="92"/>
        <v>0</v>
      </c>
      <c r="LC9" s="66">
        <f t="shared" si="93"/>
        <v>0</v>
      </c>
      <c r="LD9" s="12">
        <f t="shared" si="94"/>
        <v>27000</v>
      </c>
      <c r="LE9" s="12">
        <f t="shared" si="95"/>
        <v>0</v>
      </c>
      <c r="LF9" s="12">
        <f t="shared" si="96"/>
        <v>0</v>
      </c>
      <c r="LG9" s="12">
        <f t="shared" si="97"/>
        <v>0</v>
      </c>
      <c r="LH9" s="12">
        <f t="shared" si="98"/>
        <v>0</v>
      </c>
      <c r="LI9" s="12">
        <f t="shared" si="99"/>
        <v>0</v>
      </c>
      <c r="LJ9" s="16">
        <f t="shared" si="100"/>
        <v>0</v>
      </c>
      <c r="LK9" s="59">
        <f t="shared" si="101"/>
        <v>0</v>
      </c>
      <c r="LL9" s="129">
        <v>27000</v>
      </c>
      <c r="LM9" s="68">
        <v>0.5</v>
      </c>
      <c r="LN9" s="15">
        <v>0.5</v>
      </c>
      <c r="LO9" s="15"/>
      <c r="LP9" s="15"/>
      <c r="LQ9" s="15"/>
      <c r="LR9" s="15"/>
      <c r="LS9" s="15"/>
      <c r="LT9" s="15"/>
      <c r="LU9" s="61">
        <f t="shared" si="102"/>
        <v>0</v>
      </c>
      <c r="LV9" s="66">
        <f t="shared" si="103"/>
        <v>27000</v>
      </c>
      <c r="LW9" s="12">
        <f t="shared" si="104"/>
        <v>0</v>
      </c>
      <c r="LX9" s="12">
        <f t="shared" si="105"/>
        <v>0</v>
      </c>
      <c r="LY9" s="12">
        <f t="shared" si="106"/>
        <v>0</v>
      </c>
      <c r="LZ9" s="12">
        <f t="shared" si="107"/>
        <v>0</v>
      </c>
      <c r="MA9" s="12">
        <f t="shared" si="108"/>
        <v>0</v>
      </c>
      <c r="MB9" s="16">
        <f t="shared" si="109"/>
        <v>0</v>
      </c>
      <c r="MC9" s="59">
        <f t="shared" si="110"/>
        <v>0</v>
      </c>
      <c r="MD9" s="129">
        <v>27000</v>
      </c>
      <c r="ME9" s="68">
        <v>0.5</v>
      </c>
      <c r="MF9" s="15"/>
      <c r="MG9" s="15"/>
      <c r="MH9" s="15">
        <v>0.5</v>
      </c>
      <c r="MI9" s="15"/>
      <c r="MJ9" s="15"/>
      <c r="MK9" s="15"/>
      <c r="ML9" s="15"/>
      <c r="MM9" s="61">
        <f t="shared" si="111"/>
        <v>0</v>
      </c>
      <c r="MN9" s="66">
        <f t="shared" si="112"/>
        <v>0</v>
      </c>
      <c r="MO9" s="12">
        <f t="shared" si="113"/>
        <v>0</v>
      </c>
      <c r="MP9" s="12">
        <f t="shared" si="114"/>
        <v>27000</v>
      </c>
      <c r="MQ9" s="12">
        <f t="shared" si="115"/>
        <v>0</v>
      </c>
      <c r="MR9" s="12">
        <f t="shared" si="116"/>
        <v>0</v>
      </c>
      <c r="MS9" s="12">
        <f t="shared" si="116"/>
        <v>0</v>
      </c>
      <c r="MT9" s="16">
        <f t="shared" si="117"/>
        <v>0</v>
      </c>
      <c r="MU9" s="59">
        <f t="shared" si="189"/>
        <v>0</v>
      </c>
      <c r="MV9" s="617">
        <v>27000</v>
      </c>
      <c r="MW9" s="619">
        <v>0.5</v>
      </c>
      <c r="MX9" s="15"/>
      <c r="MY9" s="15"/>
      <c r="MZ9" s="15"/>
      <c r="NA9" s="15"/>
      <c r="NB9" s="15"/>
      <c r="NC9" s="15"/>
      <c r="ND9" s="15"/>
      <c r="NE9" s="61">
        <f t="shared" si="118"/>
        <v>0.5</v>
      </c>
      <c r="NF9" s="66">
        <f t="shared" si="119"/>
        <v>0</v>
      </c>
      <c r="NG9" s="12">
        <f t="shared" si="120"/>
        <v>0</v>
      </c>
      <c r="NH9" s="12">
        <f t="shared" si="121"/>
        <v>0</v>
      </c>
      <c r="NI9" s="12">
        <f t="shared" si="122"/>
        <v>0</v>
      </c>
      <c r="NJ9" s="12">
        <f t="shared" si="123"/>
        <v>0</v>
      </c>
      <c r="NK9" s="12">
        <f t="shared" si="123"/>
        <v>0</v>
      </c>
      <c r="NL9" s="16">
        <f t="shared" si="124"/>
        <v>0</v>
      </c>
      <c r="NM9" s="59">
        <f t="shared" si="125"/>
        <v>27000</v>
      </c>
      <c r="NN9" s="617">
        <v>27000</v>
      </c>
      <c r="NO9" s="619">
        <v>0.5</v>
      </c>
      <c r="NP9" s="15"/>
      <c r="NQ9" s="15">
        <v>0.5</v>
      </c>
      <c r="NR9" s="15"/>
      <c r="NS9" s="15"/>
      <c r="NT9" s="15"/>
      <c r="NU9" s="61">
        <f t="shared" si="126"/>
        <v>0</v>
      </c>
      <c r="NV9" s="66">
        <f t="shared" si="190"/>
        <v>0</v>
      </c>
      <c r="NW9" s="12">
        <f t="shared" ref="NW9:NW66" si="209">IF($NO9&lt;&gt;0,NQ9*$NN9/$NO9,0)</f>
        <v>27000</v>
      </c>
      <c r="NX9" s="12">
        <f t="shared" ref="NX9:NX67" si="210">IF($NO9&lt;&gt;0,NR9*$NN9/$NO9,0)</f>
        <v>0</v>
      </c>
      <c r="NY9" s="12">
        <f t="shared" ref="NY9:NY67" si="211">IF($NO9&lt;&gt;0,NS9*$NN9/$NO9,0)</f>
        <v>0</v>
      </c>
      <c r="NZ9" s="16">
        <f t="shared" ref="NZ9:NZ67" si="212">IF($NO9&lt;&gt;0,NT9*$NN9/$NO9,0)</f>
        <v>0</v>
      </c>
      <c r="OA9" s="59">
        <f t="shared" si="131"/>
        <v>0</v>
      </c>
      <c r="OB9" s="131">
        <v>27000</v>
      </c>
      <c r="OC9" s="133">
        <v>0.5</v>
      </c>
      <c r="OD9" s="15"/>
      <c r="OE9" s="15">
        <v>0.5</v>
      </c>
      <c r="OF9" s="15"/>
      <c r="OG9" s="15"/>
      <c r="OH9" s="15"/>
      <c r="OI9" s="61">
        <f t="shared" si="163"/>
        <v>0</v>
      </c>
      <c r="OJ9" s="66">
        <f t="shared" si="132"/>
        <v>0</v>
      </c>
      <c r="OK9" s="12">
        <f t="shared" si="133"/>
        <v>27000</v>
      </c>
      <c r="OL9" s="12">
        <f t="shared" si="134"/>
        <v>0</v>
      </c>
      <c r="OM9" s="12">
        <f t="shared" si="135"/>
        <v>0</v>
      </c>
      <c r="ON9" s="16">
        <f t="shared" si="136"/>
        <v>0</v>
      </c>
      <c r="OO9" s="59">
        <f t="shared" si="137"/>
        <v>0</v>
      </c>
      <c r="OP9" s="131">
        <v>27000</v>
      </c>
      <c r="OQ9" s="133">
        <v>0.5</v>
      </c>
      <c r="OR9" s="15"/>
      <c r="OS9" s="15"/>
      <c r="OT9" s="15"/>
      <c r="OU9" s="15"/>
      <c r="OV9" s="15"/>
      <c r="OW9" s="61">
        <f t="shared" si="138"/>
        <v>0.5</v>
      </c>
      <c r="OX9" s="66">
        <f t="shared" si="139"/>
        <v>0</v>
      </c>
      <c r="OY9" s="12">
        <f t="shared" si="140"/>
        <v>0</v>
      </c>
      <c r="OZ9" s="12">
        <f t="shared" si="141"/>
        <v>0</v>
      </c>
      <c r="PA9" s="12">
        <f t="shared" si="142"/>
        <v>0</v>
      </c>
      <c r="PB9" s="16">
        <f t="shared" si="143"/>
        <v>0</v>
      </c>
      <c r="PC9" s="59">
        <f t="shared" si="144"/>
        <v>27000</v>
      </c>
      <c r="PD9" s="131">
        <v>27000</v>
      </c>
      <c r="PE9" s="133">
        <v>0.5</v>
      </c>
      <c r="PF9" s="15"/>
      <c r="PG9" s="15"/>
      <c r="PH9" s="15"/>
      <c r="PI9" s="15"/>
      <c r="PJ9" s="15"/>
      <c r="PK9" s="61">
        <f t="shared" si="145"/>
        <v>0.5</v>
      </c>
      <c r="PL9" s="66">
        <f t="shared" si="174"/>
        <v>0</v>
      </c>
      <c r="PM9" s="12">
        <f t="shared" si="175"/>
        <v>0</v>
      </c>
      <c r="PN9" s="12">
        <f t="shared" si="176"/>
        <v>0</v>
      </c>
      <c r="PO9" s="12">
        <f t="shared" si="177"/>
        <v>0</v>
      </c>
      <c r="PP9" s="16">
        <f t="shared" si="178"/>
        <v>0</v>
      </c>
      <c r="PQ9" s="59">
        <f t="shared" si="150"/>
        <v>27000</v>
      </c>
      <c r="PS9" s="884">
        <f t="shared" si="151"/>
        <v>0</v>
      </c>
    </row>
    <row r="10" spans="2:435" x14ac:dyDescent="0.2">
      <c r="B10" s="24"/>
      <c r="C10" s="137" t="s">
        <v>31</v>
      </c>
      <c r="D10" s="26">
        <v>25000</v>
      </c>
      <c r="E10" s="42">
        <v>1</v>
      </c>
      <c r="F10" s="31"/>
      <c r="G10" s="12">
        <v>0.25</v>
      </c>
      <c r="H10" s="12"/>
      <c r="I10" s="12"/>
      <c r="J10" s="12">
        <v>0.25</v>
      </c>
      <c r="K10" s="12">
        <v>0.25</v>
      </c>
      <c r="L10" s="15">
        <v>0.25</v>
      </c>
      <c r="M10" s="61">
        <f t="shared" si="41"/>
        <v>0</v>
      </c>
      <c r="N10" s="31">
        <f t="shared" si="0"/>
        <v>0</v>
      </c>
      <c r="O10" s="12">
        <f t="shared" si="0"/>
        <v>6250</v>
      </c>
      <c r="P10" s="12">
        <f t="shared" si="0"/>
        <v>0</v>
      </c>
      <c r="Q10" s="12">
        <f t="shared" si="0"/>
        <v>0</v>
      </c>
      <c r="R10" s="12">
        <f t="shared" si="0"/>
        <v>6250</v>
      </c>
      <c r="S10" s="12">
        <f t="shared" si="0"/>
        <v>6250</v>
      </c>
      <c r="T10" s="15">
        <f t="shared" si="0"/>
        <v>6250</v>
      </c>
      <c r="U10" s="59">
        <f t="shared" si="191"/>
        <v>0</v>
      </c>
      <c r="V10" s="26">
        <v>25000</v>
      </c>
      <c r="W10" s="42">
        <v>1</v>
      </c>
      <c r="X10" s="31"/>
      <c r="Y10" s="12"/>
      <c r="Z10" s="12"/>
      <c r="AA10" s="12"/>
      <c r="AB10" s="12">
        <v>1</v>
      </c>
      <c r="AC10" s="12"/>
      <c r="AD10" s="15"/>
      <c r="AE10" s="15"/>
      <c r="AF10" s="61">
        <f t="shared" si="42"/>
        <v>0</v>
      </c>
      <c r="AG10" s="35">
        <f t="shared" si="43"/>
        <v>0</v>
      </c>
      <c r="AH10" s="35">
        <f t="shared" si="1"/>
        <v>0</v>
      </c>
      <c r="AI10" s="35">
        <f t="shared" si="1"/>
        <v>0</v>
      </c>
      <c r="AJ10" s="35">
        <f t="shared" si="1"/>
        <v>0</v>
      </c>
      <c r="AK10" s="35">
        <f t="shared" si="1"/>
        <v>25000</v>
      </c>
      <c r="AL10" s="35">
        <f t="shared" si="1"/>
        <v>0</v>
      </c>
      <c r="AM10" s="35">
        <f t="shared" si="1"/>
        <v>0</v>
      </c>
      <c r="AN10" s="35">
        <f t="shared" si="1"/>
        <v>0</v>
      </c>
      <c r="AO10" s="62">
        <f t="shared" si="44"/>
        <v>0</v>
      </c>
      <c r="AP10" s="26">
        <f>17045.45+431.52</f>
        <v>17476.97</v>
      </c>
      <c r="AQ10" s="42">
        <v>0.71</v>
      </c>
      <c r="AR10" s="12"/>
      <c r="AS10" s="12"/>
      <c r="AT10" s="12">
        <v>0.7</v>
      </c>
      <c r="AU10" s="12"/>
      <c r="AV10" s="15"/>
      <c r="AW10" s="15"/>
      <c r="AX10" s="61">
        <f t="shared" si="45"/>
        <v>0.01</v>
      </c>
      <c r="AY10" s="35">
        <f t="shared" si="2"/>
        <v>0</v>
      </c>
      <c r="AZ10" s="35">
        <f t="shared" si="2"/>
        <v>0</v>
      </c>
      <c r="BA10" s="35">
        <f t="shared" si="2"/>
        <v>17230.82</v>
      </c>
      <c r="BB10" s="35">
        <f t="shared" si="2"/>
        <v>0</v>
      </c>
      <c r="BC10" s="35">
        <f t="shared" si="2"/>
        <v>0</v>
      </c>
      <c r="BD10" s="34">
        <f t="shared" si="2"/>
        <v>0</v>
      </c>
      <c r="BE10" s="59">
        <f>AP10-AY10-AZ10-BA10-BB10-BC10-BD10</f>
        <v>246.15</v>
      </c>
      <c r="BF10" s="26">
        <v>25000</v>
      </c>
      <c r="BG10" s="42">
        <v>1</v>
      </c>
      <c r="BH10" s="12"/>
      <c r="BI10" s="12"/>
      <c r="BJ10" s="12"/>
      <c r="BK10" s="12"/>
      <c r="BL10" s="15"/>
      <c r="BM10" s="15"/>
      <c r="BN10" s="15">
        <v>1</v>
      </c>
      <c r="BO10" s="61">
        <f t="shared" si="3"/>
        <v>0</v>
      </c>
      <c r="BP10" s="65">
        <f t="shared" si="4"/>
        <v>0</v>
      </c>
      <c r="BQ10" s="33">
        <f t="shared" si="4"/>
        <v>0</v>
      </c>
      <c r="BR10" s="33">
        <f t="shared" si="4"/>
        <v>0</v>
      </c>
      <c r="BS10" s="33">
        <f t="shared" si="4"/>
        <v>0</v>
      </c>
      <c r="BT10" s="33">
        <f t="shared" si="4"/>
        <v>0</v>
      </c>
      <c r="BU10" s="33">
        <f t="shared" si="4"/>
        <v>0</v>
      </c>
      <c r="BV10" s="34">
        <f t="shared" si="4"/>
        <v>25000</v>
      </c>
      <c r="BW10" s="59">
        <f t="shared" si="192"/>
        <v>0</v>
      </c>
      <c r="BX10" s="69">
        <v>26247.919999999998</v>
      </c>
      <c r="BY10" s="68">
        <f>4/31</f>
        <v>0.13</v>
      </c>
      <c r="BZ10" s="31"/>
      <c r="CA10" s="12"/>
      <c r="CB10" s="12"/>
      <c r="CC10" s="12"/>
      <c r="CD10" s="15"/>
      <c r="CE10" s="15">
        <v>0.1</v>
      </c>
      <c r="CF10" s="15"/>
      <c r="CG10" s="61">
        <f t="shared" si="5"/>
        <v>0.03</v>
      </c>
      <c r="CH10" s="66">
        <f t="shared" si="47"/>
        <v>0</v>
      </c>
      <c r="CI10" s="12">
        <f t="shared" si="6"/>
        <v>0</v>
      </c>
      <c r="CJ10" s="12">
        <f t="shared" si="6"/>
        <v>0</v>
      </c>
      <c r="CK10" s="12">
        <f t="shared" si="6"/>
        <v>0</v>
      </c>
      <c r="CL10" s="12">
        <f t="shared" si="6"/>
        <v>0</v>
      </c>
      <c r="CM10" s="12">
        <f t="shared" si="6"/>
        <v>20190.71</v>
      </c>
      <c r="CN10" s="16">
        <f t="shared" si="6"/>
        <v>0</v>
      </c>
      <c r="CO10" s="59">
        <f t="shared" si="193"/>
        <v>6057.21</v>
      </c>
      <c r="CP10" s="69"/>
      <c r="CQ10" s="68"/>
      <c r="CR10" s="12"/>
      <c r="CS10" s="12"/>
      <c r="CT10" s="12"/>
      <c r="CU10" s="12"/>
      <c r="CV10" s="15"/>
      <c r="CW10" s="15"/>
      <c r="CX10" s="15"/>
      <c r="CY10" s="61">
        <f t="shared" si="7"/>
        <v>0</v>
      </c>
      <c r="CZ10" s="66">
        <f t="shared" si="194"/>
        <v>0</v>
      </c>
      <c r="DA10" s="12">
        <f t="shared" si="8"/>
        <v>0</v>
      </c>
      <c r="DB10" s="12">
        <f t="shared" si="8"/>
        <v>0</v>
      </c>
      <c r="DC10" s="12">
        <f t="shared" si="8"/>
        <v>0</v>
      </c>
      <c r="DD10" s="12">
        <f t="shared" si="8"/>
        <v>0</v>
      </c>
      <c r="DE10" s="12">
        <f t="shared" si="8"/>
        <v>0</v>
      </c>
      <c r="DF10" s="16">
        <f t="shared" si="8"/>
        <v>0</v>
      </c>
      <c r="DG10" s="59">
        <f t="shared" si="195"/>
        <v>0</v>
      </c>
      <c r="DH10" s="69"/>
      <c r="DI10" s="68"/>
      <c r="DJ10" s="12"/>
      <c r="DK10" s="12"/>
      <c r="DL10" s="12"/>
      <c r="DM10" s="12"/>
      <c r="DN10" s="15"/>
      <c r="DO10" s="15"/>
      <c r="DP10" s="15"/>
      <c r="DQ10" s="61">
        <f t="shared" si="9"/>
        <v>0</v>
      </c>
      <c r="DR10" s="66">
        <f t="shared" si="48"/>
        <v>0</v>
      </c>
      <c r="DS10" s="12">
        <f t="shared" si="10"/>
        <v>0</v>
      </c>
      <c r="DT10" s="12">
        <f t="shared" si="10"/>
        <v>0</v>
      </c>
      <c r="DU10" s="12">
        <f t="shared" si="10"/>
        <v>0</v>
      </c>
      <c r="DV10" s="12">
        <f t="shared" si="10"/>
        <v>0</v>
      </c>
      <c r="DW10" s="12">
        <f t="shared" si="10"/>
        <v>0</v>
      </c>
      <c r="DX10" s="16">
        <f t="shared" si="10"/>
        <v>0</v>
      </c>
      <c r="DY10" s="59">
        <f t="shared" si="196"/>
        <v>0</v>
      </c>
      <c r="DZ10" s="69"/>
      <c r="EA10" s="68"/>
      <c r="EB10" s="12"/>
      <c r="EC10" s="12"/>
      <c r="ED10" s="12"/>
      <c r="EE10" s="15"/>
      <c r="EF10" s="15"/>
      <c r="EG10" s="15"/>
      <c r="EH10" s="61">
        <f t="shared" si="197"/>
        <v>0</v>
      </c>
      <c r="EI10" s="66">
        <f t="shared" si="11"/>
        <v>0</v>
      </c>
      <c r="EJ10" s="12">
        <f t="shared" si="11"/>
        <v>0</v>
      </c>
      <c r="EK10" s="12">
        <f t="shared" si="11"/>
        <v>0</v>
      </c>
      <c r="EL10" s="12">
        <f t="shared" si="11"/>
        <v>0</v>
      </c>
      <c r="EM10" s="12">
        <f t="shared" si="11"/>
        <v>0</v>
      </c>
      <c r="EN10" s="16">
        <f t="shared" si="11"/>
        <v>0</v>
      </c>
      <c r="EO10" s="59">
        <f t="shared" si="198"/>
        <v>0</v>
      </c>
      <c r="EP10" s="69"/>
      <c r="EQ10" s="68"/>
      <c r="ER10" s="12"/>
      <c r="ES10" s="12"/>
      <c r="ET10" s="15"/>
      <c r="EU10" s="15"/>
      <c r="EV10" s="61">
        <f t="shared" si="199"/>
        <v>0</v>
      </c>
      <c r="EW10" s="66">
        <f t="shared" si="49"/>
        <v>0</v>
      </c>
      <c r="EX10" s="12">
        <f t="shared" si="49"/>
        <v>0</v>
      </c>
      <c r="EY10" s="12">
        <f t="shared" si="49"/>
        <v>0</v>
      </c>
      <c r="EZ10" s="16">
        <f t="shared" si="49"/>
        <v>0</v>
      </c>
      <c r="FA10" s="59">
        <f t="shared" si="200"/>
        <v>0</v>
      </c>
      <c r="FB10" s="69"/>
      <c r="FC10" s="68"/>
      <c r="FD10" s="12"/>
      <c r="FE10" s="15"/>
      <c r="FF10" s="15"/>
      <c r="FG10" s="61">
        <f t="shared" si="201"/>
        <v>0</v>
      </c>
      <c r="FH10" s="66">
        <f t="shared" si="50"/>
        <v>0</v>
      </c>
      <c r="FI10" s="12">
        <f t="shared" si="50"/>
        <v>0</v>
      </c>
      <c r="FJ10" s="16">
        <f t="shared" si="50"/>
        <v>0</v>
      </c>
      <c r="FK10" s="59">
        <f t="shared" si="202"/>
        <v>0</v>
      </c>
      <c r="FL10" s="69"/>
      <c r="FM10" s="68"/>
      <c r="FN10" s="12"/>
      <c r="FO10" s="15"/>
      <c r="FP10" s="15"/>
      <c r="FQ10" s="15"/>
      <c r="FR10" s="15"/>
      <c r="FS10" s="61">
        <f t="shared" si="203"/>
        <v>0</v>
      </c>
      <c r="FT10" s="66">
        <f t="shared" si="204"/>
        <v>0</v>
      </c>
      <c r="FU10" s="12">
        <f t="shared" si="205"/>
        <v>0</v>
      </c>
      <c r="FV10" s="12">
        <f t="shared" si="206"/>
        <v>0</v>
      </c>
      <c r="FW10" s="12">
        <f t="shared" si="207"/>
        <v>0</v>
      </c>
      <c r="FX10" s="16">
        <f t="shared" si="51"/>
        <v>0</v>
      </c>
      <c r="FY10" s="59">
        <f t="shared" si="52"/>
        <v>0</v>
      </c>
      <c r="FZ10" s="69"/>
      <c r="GA10" s="68"/>
      <c r="GB10" s="12"/>
      <c r="GC10" s="15"/>
      <c r="GD10" s="15"/>
      <c r="GE10" s="15"/>
      <c r="GF10" s="61">
        <f t="shared" si="208"/>
        <v>0</v>
      </c>
      <c r="GG10" s="66">
        <f t="shared" si="53"/>
        <v>0</v>
      </c>
      <c r="GH10" s="66">
        <f t="shared" si="12"/>
        <v>0</v>
      </c>
      <c r="GI10" s="12">
        <f t="shared" si="13"/>
        <v>0</v>
      </c>
      <c r="GJ10" s="12">
        <f t="shared" si="179"/>
        <v>0</v>
      </c>
      <c r="GK10" s="31">
        <f t="shared" si="14"/>
        <v>0</v>
      </c>
      <c r="GL10" s="123">
        <f t="shared" si="15"/>
        <v>0</v>
      </c>
      <c r="GM10" s="410">
        <f t="shared" si="16"/>
        <v>0</v>
      </c>
      <c r="GN10" s="414"/>
      <c r="GO10" s="68"/>
      <c r="GP10" s="12"/>
      <c r="GQ10" s="15"/>
      <c r="GR10" s="15"/>
      <c r="GS10" s="15"/>
      <c r="GT10" s="15"/>
      <c r="GU10" s="61">
        <f t="shared" si="54"/>
        <v>0</v>
      </c>
      <c r="GV10" s="66">
        <f t="shared" si="17"/>
        <v>0</v>
      </c>
      <c r="GW10" s="12">
        <f t="shared" si="18"/>
        <v>0</v>
      </c>
      <c r="GX10" s="12">
        <f t="shared" si="19"/>
        <v>0</v>
      </c>
      <c r="GY10" s="12">
        <f t="shared" si="20"/>
        <v>0</v>
      </c>
      <c r="GZ10" s="16">
        <f t="shared" si="21"/>
        <v>0</v>
      </c>
      <c r="HA10" s="59">
        <f t="shared" si="55"/>
        <v>0</v>
      </c>
      <c r="HB10" s="69"/>
      <c r="HC10" s="68"/>
      <c r="HD10" s="12"/>
      <c r="HE10" s="15"/>
      <c r="HF10" s="15"/>
      <c r="HG10" s="15"/>
      <c r="HH10" s="15"/>
      <c r="HI10" s="15"/>
      <c r="HJ10" s="15"/>
      <c r="HK10" s="15"/>
      <c r="HL10" s="61">
        <f t="shared" si="56"/>
        <v>0</v>
      </c>
      <c r="HM10" s="66">
        <f t="shared" si="22"/>
        <v>0</v>
      </c>
      <c r="HN10" s="12">
        <f t="shared" si="23"/>
        <v>0</v>
      </c>
      <c r="HO10" s="12">
        <f t="shared" si="24"/>
        <v>0</v>
      </c>
      <c r="HP10" s="12">
        <f t="shared" si="25"/>
        <v>0</v>
      </c>
      <c r="HQ10" s="12">
        <f t="shared" si="26"/>
        <v>0</v>
      </c>
      <c r="HR10" s="12">
        <f t="shared" si="27"/>
        <v>0</v>
      </c>
      <c r="HS10" s="12">
        <f t="shared" si="28"/>
        <v>0</v>
      </c>
      <c r="HT10" s="16">
        <f t="shared" si="29"/>
        <v>0</v>
      </c>
      <c r="HU10" s="59">
        <f t="shared" si="57"/>
        <v>0</v>
      </c>
      <c r="HV10" s="69"/>
      <c r="HW10" s="68"/>
      <c r="HX10" s="12"/>
      <c r="HY10" s="15"/>
      <c r="HZ10" s="61">
        <f t="shared" si="58"/>
        <v>0</v>
      </c>
      <c r="IA10" s="66">
        <f t="shared" si="59"/>
        <v>0</v>
      </c>
      <c r="IB10" s="16">
        <f t="shared" si="59"/>
        <v>0</v>
      </c>
      <c r="IC10" s="59">
        <f t="shared" si="60"/>
        <v>0</v>
      </c>
      <c r="ID10" s="69"/>
      <c r="IE10" s="68"/>
      <c r="IF10" s="12"/>
      <c r="IG10" s="15"/>
      <c r="IH10" s="15"/>
      <c r="II10" s="15"/>
      <c r="IJ10" s="15"/>
      <c r="IK10" s="15"/>
      <c r="IL10" s="15"/>
      <c r="IM10" s="15"/>
      <c r="IN10" s="15"/>
      <c r="IO10" s="61">
        <f t="shared" si="61"/>
        <v>0</v>
      </c>
      <c r="IP10" s="66">
        <f t="shared" si="180"/>
        <v>0</v>
      </c>
      <c r="IQ10" s="12">
        <f t="shared" si="181"/>
        <v>0</v>
      </c>
      <c r="IR10" s="12">
        <f t="shared" si="182"/>
        <v>0</v>
      </c>
      <c r="IS10" s="12">
        <f t="shared" si="183"/>
        <v>0</v>
      </c>
      <c r="IT10" s="12">
        <f t="shared" si="184"/>
        <v>0</v>
      </c>
      <c r="IU10" s="12">
        <f t="shared" si="185"/>
        <v>0</v>
      </c>
      <c r="IV10" s="12">
        <f t="shared" si="186"/>
        <v>0</v>
      </c>
      <c r="IW10" s="15">
        <f t="shared" si="187"/>
        <v>0</v>
      </c>
      <c r="IX10" s="16">
        <f t="shared" si="188"/>
        <v>0</v>
      </c>
      <c r="IY10" s="59">
        <f t="shared" si="70"/>
        <v>0</v>
      </c>
      <c r="IZ10" s="69"/>
      <c r="JA10" s="68"/>
      <c r="JB10" s="12"/>
      <c r="JC10" s="15"/>
      <c r="JD10" s="15"/>
      <c r="JE10" s="15"/>
      <c r="JF10" s="15"/>
      <c r="JG10" s="15"/>
      <c r="JH10" s="15"/>
      <c r="JI10" s="15"/>
      <c r="JJ10" s="15"/>
      <c r="JK10" s="61">
        <f t="shared" si="71"/>
        <v>0</v>
      </c>
      <c r="JL10" s="66">
        <f t="shared" si="72"/>
        <v>0</v>
      </c>
      <c r="JM10" s="12">
        <f t="shared" si="73"/>
        <v>0</v>
      </c>
      <c r="JN10" s="12">
        <f t="shared" si="74"/>
        <v>0</v>
      </c>
      <c r="JO10" s="12">
        <f t="shared" si="75"/>
        <v>0</v>
      </c>
      <c r="JP10" s="12">
        <f t="shared" si="76"/>
        <v>0</v>
      </c>
      <c r="JQ10" s="12">
        <f t="shared" si="77"/>
        <v>0</v>
      </c>
      <c r="JR10" s="12">
        <f t="shared" si="78"/>
        <v>0</v>
      </c>
      <c r="JS10" s="12">
        <f t="shared" si="79"/>
        <v>0</v>
      </c>
      <c r="JT10" s="16">
        <f t="shared" si="80"/>
        <v>0</v>
      </c>
      <c r="JU10" s="59">
        <f t="shared" si="81"/>
        <v>0</v>
      </c>
      <c r="JV10" s="69"/>
      <c r="JW10" s="68"/>
      <c r="JX10" s="12"/>
      <c r="JY10" s="12"/>
      <c r="JZ10" s="15"/>
      <c r="KA10" s="15"/>
      <c r="KB10" s="15"/>
      <c r="KC10" s="15"/>
      <c r="KD10" s="15"/>
      <c r="KE10" s="15"/>
      <c r="KF10" s="15"/>
      <c r="KG10" s="61">
        <f t="shared" si="82"/>
        <v>0</v>
      </c>
      <c r="KH10" s="146">
        <f t="shared" si="83"/>
        <v>0</v>
      </c>
      <c r="KI10" s="12">
        <f t="shared" si="83"/>
        <v>0</v>
      </c>
      <c r="KJ10" s="12">
        <f t="shared" si="84"/>
        <v>0</v>
      </c>
      <c r="KK10" s="12">
        <f t="shared" si="85"/>
        <v>0</v>
      </c>
      <c r="KL10" s="12">
        <f t="shared" si="86"/>
        <v>0</v>
      </c>
      <c r="KM10" s="12">
        <f t="shared" si="87"/>
        <v>0</v>
      </c>
      <c r="KN10" s="12">
        <f t="shared" si="88"/>
        <v>0</v>
      </c>
      <c r="KO10" s="12">
        <f t="shared" si="89"/>
        <v>0</v>
      </c>
      <c r="KP10" s="16">
        <f t="shared" si="90"/>
        <v>0</v>
      </c>
      <c r="KQ10" s="59">
        <f t="shared" si="91"/>
        <v>0</v>
      </c>
      <c r="KR10" s="69"/>
      <c r="KS10" s="68"/>
      <c r="KT10" s="12"/>
      <c r="KU10" s="15"/>
      <c r="KV10" s="15"/>
      <c r="KW10" s="15"/>
      <c r="KX10" s="15"/>
      <c r="KY10" s="15"/>
      <c r="KZ10" s="15"/>
      <c r="LA10" s="15"/>
      <c r="LB10" s="61">
        <f t="shared" si="92"/>
        <v>0</v>
      </c>
      <c r="LC10" s="66">
        <f t="shared" si="93"/>
        <v>0</v>
      </c>
      <c r="LD10" s="12">
        <f t="shared" si="94"/>
        <v>0</v>
      </c>
      <c r="LE10" s="12">
        <f t="shared" si="95"/>
        <v>0</v>
      </c>
      <c r="LF10" s="12">
        <f t="shared" si="96"/>
        <v>0</v>
      </c>
      <c r="LG10" s="12">
        <f t="shared" si="97"/>
        <v>0</v>
      </c>
      <c r="LH10" s="12">
        <f t="shared" si="98"/>
        <v>0</v>
      </c>
      <c r="LI10" s="12">
        <f t="shared" si="99"/>
        <v>0</v>
      </c>
      <c r="LJ10" s="16">
        <f t="shared" si="100"/>
        <v>0</v>
      </c>
      <c r="LK10" s="59">
        <f t="shared" si="101"/>
        <v>0</v>
      </c>
      <c r="LL10" s="69"/>
      <c r="LM10" s="68"/>
      <c r="LN10" s="15"/>
      <c r="LO10" s="15"/>
      <c r="LP10" s="15"/>
      <c r="LQ10" s="15"/>
      <c r="LR10" s="15"/>
      <c r="LS10" s="15"/>
      <c r="LT10" s="15"/>
      <c r="LU10" s="61">
        <f t="shared" si="102"/>
        <v>0</v>
      </c>
      <c r="LV10" s="66">
        <f t="shared" si="103"/>
        <v>0</v>
      </c>
      <c r="LW10" s="12">
        <f t="shared" si="104"/>
        <v>0</v>
      </c>
      <c r="LX10" s="12">
        <f t="shared" si="105"/>
        <v>0</v>
      </c>
      <c r="LY10" s="12">
        <f t="shared" si="106"/>
        <v>0</v>
      </c>
      <c r="LZ10" s="12">
        <f t="shared" si="107"/>
        <v>0</v>
      </c>
      <c r="MA10" s="12">
        <f t="shared" si="108"/>
        <v>0</v>
      </c>
      <c r="MB10" s="16">
        <f t="shared" si="109"/>
        <v>0</v>
      </c>
      <c r="MC10" s="59">
        <f t="shared" si="110"/>
        <v>0</v>
      </c>
      <c r="MD10" s="69"/>
      <c r="ME10" s="68"/>
      <c r="MF10" s="15"/>
      <c r="MG10" s="15"/>
      <c r="MH10" s="15"/>
      <c r="MI10" s="15"/>
      <c r="MJ10" s="15"/>
      <c r="MK10" s="15"/>
      <c r="ML10" s="15"/>
      <c r="MM10" s="61">
        <f t="shared" si="111"/>
        <v>0</v>
      </c>
      <c r="MN10" s="66">
        <f t="shared" si="112"/>
        <v>0</v>
      </c>
      <c r="MO10" s="12">
        <f t="shared" si="113"/>
        <v>0</v>
      </c>
      <c r="MP10" s="12">
        <f t="shared" si="114"/>
        <v>0</v>
      </c>
      <c r="MQ10" s="12">
        <f t="shared" si="115"/>
        <v>0</v>
      </c>
      <c r="MR10" s="12">
        <f t="shared" si="116"/>
        <v>0</v>
      </c>
      <c r="MS10" s="12">
        <f t="shared" si="116"/>
        <v>0</v>
      </c>
      <c r="MT10" s="16">
        <f t="shared" si="117"/>
        <v>0</v>
      </c>
      <c r="MU10" s="59">
        <f t="shared" si="189"/>
        <v>0</v>
      </c>
      <c r="MV10" s="620"/>
      <c r="MW10" s="619"/>
      <c r="MX10" s="15"/>
      <c r="MY10" s="15"/>
      <c r="MZ10" s="15"/>
      <c r="NA10" s="15"/>
      <c r="NB10" s="15"/>
      <c r="NC10" s="15"/>
      <c r="ND10" s="15"/>
      <c r="NE10" s="61">
        <f t="shared" si="118"/>
        <v>0</v>
      </c>
      <c r="NF10" s="66">
        <f t="shared" si="119"/>
        <v>0</v>
      </c>
      <c r="NG10" s="12">
        <f t="shared" si="120"/>
        <v>0</v>
      </c>
      <c r="NH10" s="12">
        <f t="shared" si="121"/>
        <v>0</v>
      </c>
      <c r="NI10" s="12">
        <f t="shared" si="122"/>
        <v>0</v>
      </c>
      <c r="NJ10" s="12">
        <f t="shared" si="123"/>
        <v>0</v>
      </c>
      <c r="NK10" s="12">
        <f t="shared" si="123"/>
        <v>0</v>
      </c>
      <c r="NL10" s="16">
        <f t="shared" si="124"/>
        <v>0</v>
      </c>
      <c r="NM10" s="59">
        <f t="shared" si="125"/>
        <v>0</v>
      </c>
      <c r="NN10" s="620"/>
      <c r="NO10" s="619"/>
      <c r="NP10" s="15"/>
      <c r="NQ10" s="15"/>
      <c r="NR10" s="15"/>
      <c r="NS10" s="15"/>
      <c r="NT10" s="15"/>
      <c r="NU10" s="61">
        <f t="shared" si="126"/>
        <v>0</v>
      </c>
      <c r="NV10" s="66">
        <f t="shared" si="190"/>
        <v>0</v>
      </c>
      <c r="NW10" s="12">
        <f t="shared" si="209"/>
        <v>0</v>
      </c>
      <c r="NX10" s="12">
        <f t="shared" si="210"/>
        <v>0</v>
      </c>
      <c r="NY10" s="12">
        <f t="shared" si="211"/>
        <v>0</v>
      </c>
      <c r="NZ10" s="16">
        <f t="shared" si="212"/>
        <v>0</v>
      </c>
      <c r="OA10" s="59">
        <f t="shared" si="131"/>
        <v>0</v>
      </c>
      <c r="OB10" s="134"/>
      <c r="OC10" s="133"/>
      <c r="OD10" s="15"/>
      <c r="OE10" s="15"/>
      <c r="OF10" s="15"/>
      <c r="OG10" s="15"/>
      <c r="OH10" s="15"/>
      <c r="OI10" s="61">
        <f t="shared" si="163"/>
        <v>0</v>
      </c>
      <c r="OJ10" s="66">
        <f t="shared" si="132"/>
        <v>0</v>
      </c>
      <c r="OK10" s="12">
        <f t="shared" si="133"/>
        <v>0</v>
      </c>
      <c r="OL10" s="12">
        <f t="shared" si="134"/>
        <v>0</v>
      </c>
      <c r="OM10" s="12">
        <f t="shared" si="135"/>
        <v>0</v>
      </c>
      <c r="ON10" s="16">
        <f t="shared" si="136"/>
        <v>0</v>
      </c>
      <c r="OO10" s="59">
        <f t="shared" si="137"/>
        <v>0</v>
      </c>
      <c r="OP10" s="134"/>
      <c r="OQ10" s="133"/>
      <c r="OR10" s="15"/>
      <c r="OS10" s="15"/>
      <c r="OT10" s="15"/>
      <c r="OU10" s="15"/>
      <c r="OV10" s="15"/>
      <c r="OW10" s="61">
        <f t="shared" si="138"/>
        <v>0</v>
      </c>
      <c r="OX10" s="66">
        <f t="shared" si="139"/>
        <v>0</v>
      </c>
      <c r="OY10" s="12">
        <f t="shared" si="140"/>
        <v>0</v>
      </c>
      <c r="OZ10" s="12">
        <f t="shared" si="141"/>
        <v>0</v>
      </c>
      <c r="PA10" s="12">
        <f t="shared" si="142"/>
        <v>0</v>
      </c>
      <c r="PB10" s="16">
        <f t="shared" si="143"/>
        <v>0</v>
      </c>
      <c r="PC10" s="59">
        <f t="shared" si="144"/>
        <v>0</v>
      </c>
      <c r="PD10" s="134"/>
      <c r="PE10" s="133"/>
      <c r="PF10" s="15"/>
      <c r="PG10" s="15"/>
      <c r="PH10" s="15"/>
      <c r="PI10" s="15"/>
      <c r="PJ10" s="15"/>
      <c r="PK10" s="61">
        <f t="shared" si="145"/>
        <v>0</v>
      </c>
      <c r="PL10" s="66">
        <f t="shared" si="174"/>
        <v>0</v>
      </c>
      <c r="PM10" s="12">
        <f t="shared" si="175"/>
        <v>0</v>
      </c>
      <c r="PN10" s="12">
        <f t="shared" si="176"/>
        <v>0</v>
      </c>
      <c r="PO10" s="12">
        <f t="shared" si="177"/>
        <v>0</v>
      </c>
      <c r="PP10" s="16">
        <f t="shared" si="178"/>
        <v>0</v>
      </c>
      <c r="PQ10" s="59">
        <f t="shared" si="150"/>
        <v>0</v>
      </c>
      <c r="PS10" s="884">
        <f t="shared" si="151"/>
        <v>0</v>
      </c>
    </row>
    <row r="11" spans="2:435" x14ac:dyDescent="0.2">
      <c r="B11" s="24">
        <v>6</v>
      </c>
      <c r="C11" s="70" t="s">
        <v>49</v>
      </c>
      <c r="D11" s="26"/>
      <c r="E11" s="42"/>
      <c r="F11" s="31"/>
      <c r="G11" s="12"/>
      <c r="H11" s="12"/>
      <c r="I11" s="12"/>
      <c r="J11" s="12"/>
      <c r="K11" s="12"/>
      <c r="L11" s="15"/>
      <c r="M11" s="61">
        <f t="shared" si="41"/>
        <v>0</v>
      </c>
      <c r="N11" s="31">
        <f t="shared" si="0"/>
        <v>0</v>
      </c>
      <c r="O11" s="12">
        <f t="shared" si="0"/>
        <v>0</v>
      </c>
      <c r="P11" s="12">
        <f t="shared" si="0"/>
        <v>0</v>
      </c>
      <c r="Q11" s="12">
        <f t="shared" si="0"/>
        <v>0</v>
      </c>
      <c r="R11" s="12">
        <f t="shared" si="0"/>
        <v>0</v>
      </c>
      <c r="S11" s="12">
        <f t="shared" si="0"/>
        <v>0</v>
      </c>
      <c r="T11" s="15">
        <f t="shared" si="0"/>
        <v>0</v>
      </c>
      <c r="U11" s="59">
        <f t="shared" si="191"/>
        <v>0</v>
      </c>
      <c r="V11" s="26"/>
      <c r="W11" s="42"/>
      <c r="X11" s="31"/>
      <c r="Y11" s="12"/>
      <c r="Z11" s="12"/>
      <c r="AA11" s="12"/>
      <c r="AB11" s="12"/>
      <c r="AC11" s="12"/>
      <c r="AD11" s="15"/>
      <c r="AE11" s="15"/>
      <c r="AF11" s="61">
        <f t="shared" si="42"/>
        <v>0</v>
      </c>
      <c r="AG11" s="35">
        <f t="shared" si="43"/>
        <v>0</v>
      </c>
      <c r="AH11" s="35">
        <f t="shared" si="1"/>
        <v>0</v>
      </c>
      <c r="AI11" s="35">
        <f t="shared" si="1"/>
        <v>0</v>
      </c>
      <c r="AJ11" s="35">
        <f t="shared" si="1"/>
        <v>0</v>
      </c>
      <c r="AK11" s="35">
        <f t="shared" si="1"/>
        <v>0</v>
      </c>
      <c r="AL11" s="35">
        <f t="shared" si="1"/>
        <v>0</v>
      </c>
      <c r="AM11" s="35">
        <f t="shared" si="1"/>
        <v>0</v>
      </c>
      <c r="AN11" s="35">
        <f t="shared" si="1"/>
        <v>0</v>
      </c>
      <c r="AO11" s="62">
        <f t="shared" si="44"/>
        <v>0</v>
      </c>
      <c r="AP11" s="26"/>
      <c r="AQ11" s="42"/>
      <c r="AR11" s="12"/>
      <c r="AS11" s="12"/>
      <c r="AT11" s="12"/>
      <c r="AU11" s="12"/>
      <c r="AV11" s="15"/>
      <c r="AW11" s="15"/>
      <c r="AX11" s="61">
        <f t="shared" si="45"/>
        <v>0</v>
      </c>
      <c r="AY11" s="35">
        <f t="shared" si="2"/>
        <v>0</v>
      </c>
      <c r="AZ11" s="35">
        <f t="shared" si="2"/>
        <v>0</v>
      </c>
      <c r="BA11" s="35">
        <f t="shared" si="2"/>
        <v>0</v>
      </c>
      <c r="BB11" s="35">
        <f t="shared" si="2"/>
        <v>0</v>
      </c>
      <c r="BC11" s="35">
        <f t="shared" si="2"/>
        <v>0</v>
      </c>
      <c r="BD11" s="34">
        <f t="shared" si="2"/>
        <v>0</v>
      </c>
      <c r="BE11" s="59">
        <f t="shared" si="46"/>
        <v>0</v>
      </c>
      <c r="BF11" s="26">
        <v>27500</v>
      </c>
      <c r="BG11" s="42">
        <v>0.5</v>
      </c>
      <c r="BH11" s="12"/>
      <c r="BI11" s="12"/>
      <c r="BJ11" s="12"/>
      <c r="BK11" s="12"/>
      <c r="BL11" s="15">
        <v>0.5</v>
      </c>
      <c r="BM11" s="15"/>
      <c r="BN11" s="15"/>
      <c r="BO11" s="61">
        <f t="shared" si="3"/>
        <v>0</v>
      </c>
      <c r="BP11" s="65">
        <f t="shared" si="4"/>
        <v>0</v>
      </c>
      <c r="BQ11" s="33">
        <f t="shared" si="4"/>
        <v>0</v>
      </c>
      <c r="BR11" s="33">
        <f t="shared" si="4"/>
        <v>0</v>
      </c>
      <c r="BS11" s="33">
        <f t="shared" si="4"/>
        <v>0</v>
      </c>
      <c r="BT11" s="33">
        <f t="shared" si="4"/>
        <v>27500</v>
      </c>
      <c r="BU11" s="33">
        <f t="shared" si="4"/>
        <v>0</v>
      </c>
      <c r="BV11" s="34">
        <f t="shared" si="4"/>
        <v>0</v>
      </c>
      <c r="BW11" s="59">
        <f t="shared" si="192"/>
        <v>0</v>
      </c>
      <c r="BX11" s="69">
        <v>27500</v>
      </c>
      <c r="BY11" s="68">
        <v>0.5</v>
      </c>
      <c r="BZ11" s="31"/>
      <c r="CA11" s="12"/>
      <c r="CB11" s="12"/>
      <c r="CC11" s="12"/>
      <c r="CD11" s="15">
        <v>0.5</v>
      </c>
      <c r="CE11" s="15"/>
      <c r="CF11" s="15"/>
      <c r="CG11" s="61">
        <f t="shared" si="5"/>
        <v>0</v>
      </c>
      <c r="CH11" s="66">
        <f t="shared" si="47"/>
        <v>0</v>
      </c>
      <c r="CI11" s="12">
        <f t="shared" si="6"/>
        <v>0</v>
      </c>
      <c r="CJ11" s="12">
        <f t="shared" si="6"/>
        <v>0</v>
      </c>
      <c r="CK11" s="12">
        <f t="shared" si="6"/>
        <v>0</v>
      </c>
      <c r="CL11" s="12">
        <f t="shared" si="6"/>
        <v>27500</v>
      </c>
      <c r="CM11" s="12">
        <f t="shared" si="6"/>
        <v>0</v>
      </c>
      <c r="CN11" s="16">
        <f t="shared" si="6"/>
        <v>0</v>
      </c>
      <c r="CO11" s="59">
        <f t="shared" si="193"/>
        <v>0</v>
      </c>
      <c r="CP11" s="69">
        <v>27500</v>
      </c>
      <c r="CQ11" s="68">
        <v>0.5</v>
      </c>
      <c r="CR11" s="12"/>
      <c r="CS11" s="12"/>
      <c r="CT11" s="12"/>
      <c r="CU11" s="12"/>
      <c r="CV11" s="15">
        <v>0.5</v>
      </c>
      <c r="CW11" s="15"/>
      <c r="CX11" s="15"/>
      <c r="CY11" s="61">
        <f t="shared" si="7"/>
        <v>0</v>
      </c>
      <c r="CZ11" s="66">
        <f t="shared" si="194"/>
        <v>0</v>
      </c>
      <c r="DA11" s="12">
        <f t="shared" si="8"/>
        <v>0</v>
      </c>
      <c r="DB11" s="12">
        <f t="shared" si="8"/>
        <v>0</v>
      </c>
      <c r="DC11" s="12">
        <f t="shared" si="8"/>
        <v>0</v>
      </c>
      <c r="DD11" s="12">
        <f t="shared" si="8"/>
        <v>27500</v>
      </c>
      <c r="DE11" s="12">
        <f t="shared" si="8"/>
        <v>0</v>
      </c>
      <c r="DF11" s="16">
        <f t="shared" si="8"/>
        <v>0</v>
      </c>
      <c r="DG11" s="59">
        <f t="shared" si="195"/>
        <v>0</v>
      </c>
      <c r="DH11" s="69">
        <v>27500</v>
      </c>
      <c r="DI11" s="68">
        <v>0.5</v>
      </c>
      <c r="DJ11" s="12"/>
      <c r="DK11" s="12"/>
      <c r="DL11" s="12"/>
      <c r="DM11" s="12"/>
      <c r="DN11" s="15">
        <v>0.5</v>
      </c>
      <c r="DO11" s="15"/>
      <c r="DP11" s="15"/>
      <c r="DQ11" s="61">
        <f t="shared" si="9"/>
        <v>0</v>
      </c>
      <c r="DR11" s="66">
        <f t="shared" si="48"/>
        <v>0</v>
      </c>
      <c r="DS11" s="12">
        <f t="shared" si="10"/>
        <v>0</v>
      </c>
      <c r="DT11" s="12">
        <f t="shared" si="10"/>
        <v>0</v>
      </c>
      <c r="DU11" s="12">
        <f t="shared" si="10"/>
        <v>0</v>
      </c>
      <c r="DV11" s="12">
        <f t="shared" si="10"/>
        <v>27500</v>
      </c>
      <c r="DW11" s="12">
        <f t="shared" si="10"/>
        <v>0</v>
      </c>
      <c r="DX11" s="16">
        <f t="shared" si="10"/>
        <v>0</v>
      </c>
      <c r="DY11" s="59">
        <f t="shared" si="196"/>
        <v>0</v>
      </c>
      <c r="DZ11" s="69">
        <v>27500</v>
      </c>
      <c r="EA11" s="68">
        <v>0.5</v>
      </c>
      <c r="EB11" s="12"/>
      <c r="EC11" s="12"/>
      <c r="ED11" s="12"/>
      <c r="EE11" s="15"/>
      <c r="EF11" s="15"/>
      <c r="EG11" s="15">
        <v>0.5</v>
      </c>
      <c r="EH11" s="61">
        <f t="shared" si="197"/>
        <v>0</v>
      </c>
      <c r="EI11" s="66">
        <f t="shared" si="11"/>
        <v>0</v>
      </c>
      <c r="EJ11" s="12">
        <f t="shared" si="11"/>
        <v>0</v>
      </c>
      <c r="EK11" s="12">
        <f t="shared" si="11"/>
        <v>0</v>
      </c>
      <c r="EL11" s="12">
        <f t="shared" si="11"/>
        <v>0</v>
      </c>
      <c r="EM11" s="12">
        <f t="shared" si="11"/>
        <v>0</v>
      </c>
      <c r="EN11" s="16">
        <f t="shared" si="11"/>
        <v>27500</v>
      </c>
      <c r="EO11" s="59">
        <f t="shared" si="198"/>
        <v>0</v>
      </c>
      <c r="EP11" s="69">
        <v>27500</v>
      </c>
      <c r="EQ11" s="68">
        <v>0.5</v>
      </c>
      <c r="ER11" s="12"/>
      <c r="ES11" s="12"/>
      <c r="ET11" s="15"/>
      <c r="EU11" s="15">
        <v>0.5</v>
      </c>
      <c r="EV11" s="61">
        <f t="shared" si="199"/>
        <v>0</v>
      </c>
      <c r="EW11" s="66">
        <f t="shared" si="49"/>
        <v>0</v>
      </c>
      <c r="EX11" s="12">
        <f t="shared" si="49"/>
        <v>0</v>
      </c>
      <c r="EY11" s="12">
        <f t="shared" si="49"/>
        <v>0</v>
      </c>
      <c r="EZ11" s="16">
        <f t="shared" si="49"/>
        <v>27500</v>
      </c>
      <c r="FA11" s="59">
        <f t="shared" si="200"/>
        <v>0</v>
      </c>
      <c r="FB11" s="69">
        <v>27500</v>
      </c>
      <c r="FC11" s="68">
        <v>0.5</v>
      </c>
      <c r="FD11" s="12"/>
      <c r="FE11" s="15"/>
      <c r="FF11" s="15">
        <v>0.5</v>
      </c>
      <c r="FG11" s="61">
        <f t="shared" si="201"/>
        <v>0</v>
      </c>
      <c r="FH11" s="66">
        <f t="shared" si="50"/>
        <v>0</v>
      </c>
      <c r="FI11" s="12">
        <f t="shared" si="50"/>
        <v>0</v>
      </c>
      <c r="FJ11" s="16">
        <f t="shared" si="50"/>
        <v>27500</v>
      </c>
      <c r="FK11" s="59">
        <f t="shared" si="202"/>
        <v>0</v>
      </c>
      <c r="FL11" s="69">
        <v>27500</v>
      </c>
      <c r="FM11" s="68">
        <v>0.5</v>
      </c>
      <c r="FN11" s="12"/>
      <c r="FO11" s="15"/>
      <c r="FP11" s="15"/>
      <c r="FQ11" s="15"/>
      <c r="FR11" s="15">
        <v>0.5</v>
      </c>
      <c r="FS11" s="61">
        <f t="shared" si="203"/>
        <v>0</v>
      </c>
      <c r="FT11" s="66">
        <f t="shared" si="204"/>
        <v>0</v>
      </c>
      <c r="FU11" s="12">
        <f t="shared" si="205"/>
        <v>0</v>
      </c>
      <c r="FV11" s="12">
        <f t="shared" si="206"/>
        <v>0</v>
      </c>
      <c r="FW11" s="12">
        <f t="shared" si="207"/>
        <v>0</v>
      </c>
      <c r="FX11" s="16">
        <f t="shared" si="51"/>
        <v>27500</v>
      </c>
      <c r="FY11" s="59">
        <f t="shared" si="52"/>
        <v>0</v>
      </c>
      <c r="FZ11" s="69">
        <v>27500</v>
      </c>
      <c r="GA11" s="68">
        <v>0.5</v>
      </c>
      <c r="GB11" s="73"/>
      <c r="GC11" s="73"/>
      <c r="GD11" s="15">
        <v>0.5</v>
      </c>
      <c r="GE11" s="15"/>
      <c r="GF11" s="61">
        <f t="shared" si="208"/>
        <v>0</v>
      </c>
      <c r="GG11" s="66">
        <f t="shared" si="53"/>
        <v>0</v>
      </c>
      <c r="GH11" s="66">
        <f t="shared" si="12"/>
        <v>0</v>
      </c>
      <c r="GI11" s="12">
        <f t="shared" si="13"/>
        <v>0</v>
      </c>
      <c r="GJ11" s="12">
        <f t="shared" si="179"/>
        <v>0</v>
      </c>
      <c r="GK11" s="31">
        <f t="shared" si="14"/>
        <v>27500</v>
      </c>
      <c r="GL11" s="123">
        <f t="shared" si="15"/>
        <v>0</v>
      </c>
      <c r="GM11" s="410">
        <f t="shared" si="16"/>
        <v>0</v>
      </c>
      <c r="GN11" s="414">
        <v>27500</v>
      </c>
      <c r="GO11" s="68">
        <v>0.5</v>
      </c>
      <c r="GP11" s="73"/>
      <c r="GQ11" s="74"/>
      <c r="GR11" s="15">
        <v>0.5</v>
      </c>
      <c r="GS11" s="15"/>
      <c r="GT11" s="15"/>
      <c r="GU11" s="61">
        <f t="shared" si="54"/>
        <v>0</v>
      </c>
      <c r="GV11" s="66">
        <f t="shared" si="17"/>
        <v>0</v>
      </c>
      <c r="GW11" s="12">
        <f t="shared" si="18"/>
        <v>0</v>
      </c>
      <c r="GX11" s="12">
        <f t="shared" si="19"/>
        <v>27500</v>
      </c>
      <c r="GY11" s="12">
        <f t="shared" si="20"/>
        <v>0</v>
      </c>
      <c r="GZ11" s="16">
        <f t="shared" si="21"/>
        <v>0</v>
      </c>
      <c r="HA11" s="59">
        <f t="shared" si="55"/>
        <v>0</v>
      </c>
      <c r="HB11" s="69">
        <v>30000</v>
      </c>
      <c r="HC11" s="68">
        <v>0.5</v>
      </c>
      <c r="HD11" s="125"/>
      <c r="HE11" s="126"/>
      <c r="HF11" s="15"/>
      <c r="HG11" s="15"/>
      <c r="HH11" s="15"/>
      <c r="HI11" s="15"/>
      <c r="HJ11" s="15">
        <v>0.5</v>
      </c>
      <c r="HK11" s="15"/>
      <c r="HL11" s="61">
        <f t="shared" si="56"/>
        <v>0</v>
      </c>
      <c r="HM11" s="66">
        <f t="shared" si="22"/>
        <v>0</v>
      </c>
      <c r="HN11" s="12">
        <f t="shared" si="23"/>
        <v>0</v>
      </c>
      <c r="HO11" s="12">
        <f t="shared" si="24"/>
        <v>0</v>
      </c>
      <c r="HP11" s="12">
        <f t="shared" si="25"/>
        <v>0</v>
      </c>
      <c r="HQ11" s="12">
        <f t="shared" si="26"/>
        <v>0</v>
      </c>
      <c r="HR11" s="12">
        <f t="shared" si="27"/>
        <v>0</v>
      </c>
      <c r="HS11" s="12">
        <f t="shared" si="28"/>
        <v>30000</v>
      </c>
      <c r="HT11" s="16">
        <f t="shared" si="29"/>
        <v>0</v>
      </c>
      <c r="HU11" s="59">
        <f t="shared" si="57"/>
        <v>0</v>
      </c>
      <c r="HV11" s="69">
        <v>27500</v>
      </c>
      <c r="HW11" s="68">
        <v>0.5</v>
      </c>
      <c r="HX11" s="12"/>
      <c r="HY11" s="15"/>
      <c r="HZ11" s="61">
        <f t="shared" si="58"/>
        <v>0.5</v>
      </c>
      <c r="IA11" s="66">
        <f t="shared" si="59"/>
        <v>0</v>
      </c>
      <c r="IB11" s="16">
        <f t="shared" si="59"/>
        <v>0</v>
      </c>
      <c r="IC11" s="59">
        <f t="shared" si="60"/>
        <v>27500</v>
      </c>
      <c r="ID11" s="129">
        <f>1428.57+26406.8</f>
        <v>27835.37</v>
      </c>
      <c r="IE11" s="68">
        <v>0.5</v>
      </c>
      <c r="IF11" s="125"/>
      <c r="IG11" s="126"/>
      <c r="IH11" s="15"/>
      <c r="II11" s="15"/>
      <c r="IJ11" s="15"/>
      <c r="IK11" s="15"/>
      <c r="IL11" s="15">
        <v>0.5</v>
      </c>
      <c r="IM11" s="15"/>
      <c r="IN11" s="15"/>
      <c r="IO11" s="61">
        <f t="shared" si="61"/>
        <v>0</v>
      </c>
      <c r="IP11" s="66">
        <f t="shared" si="180"/>
        <v>0</v>
      </c>
      <c r="IQ11" s="12">
        <f t="shared" si="181"/>
        <v>0</v>
      </c>
      <c r="IR11" s="12">
        <f t="shared" si="182"/>
        <v>0</v>
      </c>
      <c r="IS11" s="12">
        <f t="shared" si="183"/>
        <v>0</v>
      </c>
      <c r="IT11" s="12">
        <f t="shared" si="184"/>
        <v>0</v>
      </c>
      <c r="IU11" s="12">
        <f t="shared" si="185"/>
        <v>0</v>
      </c>
      <c r="IV11" s="12">
        <f t="shared" si="186"/>
        <v>27835.37</v>
      </c>
      <c r="IW11" s="15">
        <f t="shared" si="187"/>
        <v>0</v>
      </c>
      <c r="IX11" s="16">
        <f t="shared" si="188"/>
        <v>0</v>
      </c>
      <c r="IY11" s="59">
        <f t="shared" si="70"/>
        <v>0</v>
      </c>
      <c r="IZ11" s="129">
        <v>30000</v>
      </c>
      <c r="JA11" s="68">
        <v>0.5</v>
      </c>
      <c r="JB11" s="125"/>
      <c r="JC11" s="126"/>
      <c r="JD11" s="15"/>
      <c r="JE11" s="15"/>
      <c r="JF11" s="15"/>
      <c r="JG11" s="15"/>
      <c r="JH11" s="15">
        <v>0.1</v>
      </c>
      <c r="JI11" s="15">
        <v>0.4</v>
      </c>
      <c r="JJ11" s="15"/>
      <c r="JK11" s="61">
        <f t="shared" si="71"/>
        <v>0</v>
      </c>
      <c r="JL11" s="66">
        <f t="shared" si="72"/>
        <v>0</v>
      </c>
      <c r="JM11" s="12">
        <f t="shared" si="73"/>
        <v>0</v>
      </c>
      <c r="JN11" s="12">
        <f t="shared" si="74"/>
        <v>0</v>
      </c>
      <c r="JO11" s="12">
        <f t="shared" si="75"/>
        <v>0</v>
      </c>
      <c r="JP11" s="12">
        <f t="shared" si="76"/>
        <v>0</v>
      </c>
      <c r="JQ11" s="12">
        <f t="shared" si="77"/>
        <v>0</v>
      </c>
      <c r="JR11" s="12">
        <f t="shared" si="78"/>
        <v>6000</v>
      </c>
      <c r="JS11" s="12">
        <f t="shared" si="79"/>
        <v>24000</v>
      </c>
      <c r="JT11" s="16">
        <f t="shared" si="80"/>
        <v>0</v>
      </c>
      <c r="JU11" s="59">
        <f t="shared" si="81"/>
        <v>0</v>
      </c>
      <c r="JV11" s="129">
        <v>30000</v>
      </c>
      <c r="JW11" s="68">
        <v>0.5</v>
      </c>
      <c r="JX11" s="125"/>
      <c r="JY11" s="125"/>
      <c r="JZ11" s="15"/>
      <c r="KA11" s="15"/>
      <c r="KB11" s="15"/>
      <c r="KC11" s="15"/>
      <c r="KD11" s="15">
        <v>0.5</v>
      </c>
      <c r="KE11" s="15"/>
      <c r="KF11" s="15"/>
      <c r="KG11" s="61">
        <f t="shared" si="82"/>
        <v>0</v>
      </c>
      <c r="KH11" s="146">
        <f t="shared" si="83"/>
        <v>0</v>
      </c>
      <c r="KI11" s="12">
        <f t="shared" si="83"/>
        <v>0</v>
      </c>
      <c r="KJ11" s="12">
        <f t="shared" si="84"/>
        <v>0</v>
      </c>
      <c r="KK11" s="12">
        <f t="shared" si="85"/>
        <v>0</v>
      </c>
      <c r="KL11" s="12">
        <f t="shared" si="86"/>
        <v>0</v>
      </c>
      <c r="KM11" s="12">
        <f t="shared" si="87"/>
        <v>0</v>
      </c>
      <c r="KN11" s="12">
        <f t="shared" si="88"/>
        <v>30000</v>
      </c>
      <c r="KO11" s="12">
        <f t="shared" si="89"/>
        <v>0</v>
      </c>
      <c r="KP11" s="16">
        <f t="shared" si="90"/>
        <v>0</v>
      </c>
      <c r="KQ11" s="59">
        <f t="shared" si="91"/>
        <v>0</v>
      </c>
      <c r="KR11" s="129">
        <v>30000</v>
      </c>
      <c r="KS11" s="68">
        <v>0.5</v>
      </c>
      <c r="KT11" s="125"/>
      <c r="KU11" s="15"/>
      <c r="KV11" s="15"/>
      <c r="KW11" s="15"/>
      <c r="KX11" s="15"/>
      <c r="KY11" s="15">
        <v>0.5</v>
      </c>
      <c r="KZ11" s="15"/>
      <c r="LA11" s="15"/>
      <c r="LB11" s="61">
        <f t="shared" si="92"/>
        <v>0</v>
      </c>
      <c r="LC11" s="66">
        <f t="shared" si="93"/>
        <v>0</v>
      </c>
      <c r="LD11" s="12">
        <f t="shared" si="94"/>
        <v>0</v>
      </c>
      <c r="LE11" s="12">
        <f t="shared" si="95"/>
        <v>0</v>
      </c>
      <c r="LF11" s="12">
        <f t="shared" si="96"/>
        <v>0</v>
      </c>
      <c r="LG11" s="12">
        <f t="shared" si="97"/>
        <v>0</v>
      </c>
      <c r="LH11" s="12">
        <f t="shared" si="98"/>
        <v>30000</v>
      </c>
      <c r="LI11" s="12">
        <f t="shared" si="99"/>
        <v>0</v>
      </c>
      <c r="LJ11" s="16">
        <f t="shared" si="100"/>
        <v>0</v>
      </c>
      <c r="LK11" s="59">
        <f t="shared" si="101"/>
        <v>0</v>
      </c>
      <c r="LL11" s="129">
        <v>30000</v>
      </c>
      <c r="LM11" s="68">
        <v>0.5</v>
      </c>
      <c r="LN11" s="15"/>
      <c r="LO11" s="15"/>
      <c r="LP11" s="15"/>
      <c r="LQ11" s="15">
        <v>0.5</v>
      </c>
      <c r="LR11" s="15"/>
      <c r="LS11" s="15"/>
      <c r="LT11" s="15"/>
      <c r="LU11" s="61">
        <f t="shared" si="102"/>
        <v>0</v>
      </c>
      <c r="LV11" s="66">
        <f t="shared" si="103"/>
        <v>0</v>
      </c>
      <c r="LW11" s="12">
        <f t="shared" si="104"/>
        <v>0</v>
      </c>
      <c r="LX11" s="12">
        <f t="shared" si="105"/>
        <v>0</v>
      </c>
      <c r="LY11" s="12">
        <f t="shared" si="106"/>
        <v>30000</v>
      </c>
      <c r="LZ11" s="12">
        <f t="shared" si="107"/>
        <v>0</v>
      </c>
      <c r="MA11" s="12">
        <f t="shared" si="108"/>
        <v>0</v>
      </c>
      <c r="MB11" s="16">
        <f t="shared" si="109"/>
        <v>0</v>
      </c>
      <c r="MC11" s="59">
        <f t="shared" si="110"/>
        <v>0</v>
      </c>
      <c r="MD11" s="129">
        <v>30000</v>
      </c>
      <c r="ME11" s="68">
        <v>0.5</v>
      </c>
      <c r="MF11" s="15"/>
      <c r="MG11" s="15"/>
      <c r="MH11" s="15">
        <v>0.5</v>
      </c>
      <c r="MI11" s="15"/>
      <c r="MJ11" s="15"/>
      <c r="MK11" s="15"/>
      <c r="ML11" s="15"/>
      <c r="MM11" s="61">
        <f t="shared" si="111"/>
        <v>0</v>
      </c>
      <c r="MN11" s="66">
        <f t="shared" si="112"/>
        <v>0</v>
      </c>
      <c r="MO11" s="12">
        <f t="shared" si="113"/>
        <v>0</v>
      </c>
      <c r="MP11" s="12">
        <f t="shared" si="114"/>
        <v>30000</v>
      </c>
      <c r="MQ11" s="12">
        <f t="shared" si="115"/>
        <v>0</v>
      </c>
      <c r="MR11" s="12">
        <f t="shared" si="116"/>
        <v>0</v>
      </c>
      <c r="MS11" s="12">
        <f t="shared" si="116"/>
        <v>0</v>
      </c>
      <c r="MT11" s="16">
        <f t="shared" si="117"/>
        <v>0</v>
      </c>
      <c r="MU11" s="59">
        <f t="shared" si="189"/>
        <v>0</v>
      </c>
      <c r="MV11" s="617">
        <v>30000</v>
      </c>
      <c r="MW11" s="619">
        <v>0.5</v>
      </c>
      <c r="MX11" s="15"/>
      <c r="MY11" s="15"/>
      <c r="MZ11" s="15">
        <v>0.2</v>
      </c>
      <c r="NA11" s="15">
        <v>0.3</v>
      </c>
      <c r="NB11" s="15"/>
      <c r="NC11" s="15"/>
      <c r="ND11" s="15"/>
      <c r="NE11" s="61">
        <f t="shared" si="118"/>
        <v>0</v>
      </c>
      <c r="NF11" s="66">
        <f t="shared" si="119"/>
        <v>0</v>
      </c>
      <c r="NG11" s="12">
        <f t="shared" si="120"/>
        <v>0</v>
      </c>
      <c r="NH11" s="12">
        <f t="shared" si="121"/>
        <v>12000</v>
      </c>
      <c r="NI11" s="12">
        <f t="shared" si="122"/>
        <v>18000</v>
      </c>
      <c r="NJ11" s="12">
        <f t="shared" si="123"/>
        <v>0</v>
      </c>
      <c r="NK11" s="12">
        <f t="shared" si="123"/>
        <v>0</v>
      </c>
      <c r="NL11" s="16">
        <f t="shared" si="124"/>
        <v>0</v>
      </c>
      <c r="NM11" s="59">
        <f t="shared" si="125"/>
        <v>0</v>
      </c>
      <c r="NN11" s="617">
        <v>35000</v>
      </c>
      <c r="NO11" s="619">
        <v>0.5</v>
      </c>
      <c r="NP11" s="15"/>
      <c r="NQ11" s="15">
        <v>0.5</v>
      </c>
      <c r="NR11" s="15"/>
      <c r="NS11" s="15"/>
      <c r="NT11" s="15"/>
      <c r="NU11" s="61">
        <f t="shared" si="126"/>
        <v>0</v>
      </c>
      <c r="NV11" s="66">
        <f t="shared" si="190"/>
        <v>0</v>
      </c>
      <c r="NW11" s="12">
        <f>IF($NO11&lt;&gt;0,NQ11*$NN11/$NO11,0)</f>
        <v>35000</v>
      </c>
      <c r="NX11" s="12">
        <f t="shared" si="210"/>
        <v>0</v>
      </c>
      <c r="NY11" s="12">
        <f t="shared" si="211"/>
        <v>0</v>
      </c>
      <c r="NZ11" s="16">
        <f t="shared" si="212"/>
        <v>0</v>
      </c>
      <c r="OA11" s="59">
        <f t="shared" si="131"/>
        <v>0</v>
      </c>
      <c r="OB11" s="131">
        <v>35000</v>
      </c>
      <c r="OC11" s="133">
        <v>0.5</v>
      </c>
      <c r="OD11" s="15"/>
      <c r="OE11" s="15">
        <v>0.5</v>
      </c>
      <c r="OF11" s="15"/>
      <c r="OG11" s="15"/>
      <c r="OH11" s="15"/>
      <c r="OI11" s="61">
        <f t="shared" si="163"/>
        <v>0</v>
      </c>
      <c r="OJ11" s="66">
        <f t="shared" si="132"/>
        <v>0</v>
      </c>
      <c r="OK11" s="12">
        <f>IF($OC11&lt;&gt;0,OE11*$OB11/$OC11,0)</f>
        <v>35000</v>
      </c>
      <c r="OL11" s="12">
        <f t="shared" si="134"/>
        <v>0</v>
      </c>
      <c r="OM11" s="12">
        <f t="shared" si="135"/>
        <v>0</v>
      </c>
      <c r="ON11" s="16">
        <f t="shared" si="136"/>
        <v>0</v>
      </c>
      <c r="OO11" s="59">
        <f t="shared" si="137"/>
        <v>0</v>
      </c>
      <c r="OP11" s="131">
        <v>35000</v>
      </c>
      <c r="OQ11" s="133">
        <v>0.5</v>
      </c>
      <c r="OR11" s="15"/>
      <c r="OS11" s="15">
        <v>0.25</v>
      </c>
      <c r="OT11" s="15"/>
      <c r="OU11" s="15"/>
      <c r="OV11" s="15"/>
      <c r="OW11" s="61">
        <f t="shared" si="138"/>
        <v>0.25</v>
      </c>
      <c r="OX11" s="66">
        <f t="shared" si="139"/>
        <v>0</v>
      </c>
      <c r="OY11" s="12">
        <f>IF($OQ11&lt;&gt;0,OS11*$OP11/$OQ11,0)</f>
        <v>17500</v>
      </c>
      <c r="OZ11" s="12">
        <f t="shared" si="141"/>
        <v>0</v>
      </c>
      <c r="PA11" s="12">
        <f t="shared" si="142"/>
        <v>0</v>
      </c>
      <c r="PB11" s="16">
        <f t="shared" si="143"/>
        <v>0</v>
      </c>
      <c r="PC11" s="59">
        <f t="shared" si="144"/>
        <v>17500</v>
      </c>
      <c r="PD11" s="131">
        <v>35000</v>
      </c>
      <c r="PE11" s="133">
        <v>0.5</v>
      </c>
      <c r="PF11" s="15"/>
      <c r="PG11" s="15"/>
      <c r="PH11" s="15"/>
      <c r="PI11" s="15"/>
      <c r="PJ11" s="15"/>
      <c r="PK11" s="61">
        <f t="shared" si="145"/>
        <v>0.5</v>
      </c>
      <c r="PL11" s="66">
        <f t="shared" si="174"/>
        <v>0</v>
      </c>
      <c r="PM11" s="12">
        <f t="shared" si="175"/>
        <v>0</v>
      </c>
      <c r="PN11" s="12">
        <f t="shared" si="176"/>
        <v>0</v>
      </c>
      <c r="PO11" s="12">
        <f t="shared" si="177"/>
        <v>0</v>
      </c>
      <c r="PP11" s="16">
        <f t="shared" si="178"/>
        <v>0</v>
      </c>
      <c r="PQ11" s="59">
        <f t="shared" si="150"/>
        <v>35000</v>
      </c>
      <c r="PS11" s="884">
        <f t="shared" si="151"/>
        <v>0</v>
      </c>
    </row>
    <row r="12" spans="2:435" x14ac:dyDescent="0.2">
      <c r="B12" s="24">
        <v>7</v>
      </c>
      <c r="C12" s="25" t="s">
        <v>74</v>
      </c>
      <c r="D12" s="26"/>
      <c r="E12" s="42"/>
      <c r="F12" s="31"/>
      <c r="G12" s="12"/>
      <c r="H12" s="12"/>
      <c r="I12" s="12"/>
      <c r="J12" s="12"/>
      <c r="K12" s="12"/>
      <c r="L12" s="15"/>
      <c r="M12" s="61">
        <f t="shared" si="41"/>
        <v>0</v>
      </c>
      <c r="N12" s="31">
        <f t="shared" si="0"/>
        <v>0</v>
      </c>
      <c r="O12" s="12">
        <f t="shared" si="0"/>
        <v>0</v>
      </c>
      <c r="P12" s="12">
        <f t="shared" si="0"/>
        <v>0</v>
      </c>
      <c r="Q12" s="12">
        <f t="shared" si="0"/>
        <v>0</v>
      </c>
      <c r="R12" s="12">
        <f t="shared" si="0"/>
        <v>0</v>
      </c>
      <c r="S12" s="12">
        <f t="shared" si="0"/>
        <v>0</v>
      </c>
      <c r="T12" s="15">
        <f t="shared" si="0"/>
        <v>0</v>
      </c>
      <c r="U12" s="59">
        <f t="shared" si="191"/>
        <v>0</v>
      </c>
      <c r="V12" s="26"/>
      <c r="W12" s="42"/>
      <c r="X12" s="31"/>
      <c r="Y12" s="12"/>
      <c r="Z12" s="12"/>
      <c r="AA12" s="12"/>
      <c r="AB12" s="12"/>
      <c r="AC12" s="12"/>
      <c r="AD12" s="15"/>
      <c r="AE12" s="15"/>
      <c r="AF12" s="61">
        <f t="shared" si="42"/>
        <v>0</v>
      </c>
      <c r="AG12" s="35">
        <f t="shared" si="43"/>
        <v>0</v>
      </c>
      <c r="AH12" s="35">
        <f t="shared" si="1"/>
        <v>0</v>
      </c>
      <c r="AI12" s="35">
        <f t="shared" si="1"/>
        <v>0</v>
      </c>
      <c r="AJ12" s="35">
        <f t="shared" si="1"/>
        <v>0</v>
      </c>
      <c r="AK12" s="35">
        <f t="shared" si="1"/>
        <v>0</v>
      </c>
      <c r="AL12" s="35">
        <f t="shared" si="1"/>
        <v>0</v>
      </c>
      <c r="AM12" s="35">
        <f t="shared" si="1"/>
        <v>0</v>
      </c>
      <c r="AN12" s="35">
        <f t="shared" si="1"/>
        <v>0</v>
      </c>
      <c r="AO12" s="62">
        <f t="shared" si="44"/>
        <v>0</v>
      </c>
      <c r="AP12" s="26"/>
      <c r="AQ12" s="42"/>
      <c r="AR12" s="12"/>
      <c r="AS12" s="12"/>
      <c r="AT12" s="12"/>
      <c r="AU12" s="12"/>
      <c r="AV12" s="15"/>
      <c r="AW12" s="15"/>
      <c r="AX12" s="61">
        <f t="shared" si="45"/>
        <v>0</v>
      </c>
      <c r="AY12" s="35">
        <f t="shared" si="2"/>
        <v>0</v>
      </c>
      <c r="AZ12" s="35">
        <f t="shared" si="2"/>
        <v>0</v>
      </c>
      <c r="BA12" s="35">
        <f t="shared" si="2"/>
        <v>0</v>
      </c>
      <c r="BB12" s="35">
        <f t="shared" si="2"/>
        <v>0</v>
      </c>
      <c r="BC12" s="35">
        <f t="shared" si="2"/>
        <v>0</v>
      </c>
      <c r="BD12" s="34">
        <f t="shared" si="2"/>
        <v>0</v>
      </c>
      <c r="BE12" s="59">
        <f t="shared" si="46"/>
        <v>0</v>
      </c>
      <c r="BF12" s="26"/>
      <c r="BG12" s="42"/>
      <c r="BH12" s="12"/>
      <c r="BI12" s="12"/>
      <c r="BJ12" s="12"/>
      <c r="BK12" s="12"/>
      <c r="BL12" s="15"/>
      <c r="BM12" s="15"/>
      <c r="BN12" s="15"/>
      <c r="BO12" s="61">
        <f t="shared" si="3"/>
        <v>0</v>
      </c>
      <c r="BP12" s="65">
        <f t="shared" si="4"/>
        <v>0</v>
      </c>
      <c r="BQ12" s="33">
        <f t="shared" si="4"/>
        <v>0</v>
      </c>
      <c r="BR12" s="33">
        <f t="shared" si="4"/>
        <v>0</v>
      </c>
      <c r="BS12" s="33">
        <f t="shared" si="4"/>
        <v>0</v>
      </c>
      <c r="BT12" s="33">
        <f t="shared" si="4"/>
        <v>0</v>
      </c>
      <c r="BU12" s="33">
        <f t="shared" si="4"/>
        <v>0</v>
      </c>
      <c r="BV12" s="34">
        <f t="shared" si="4"/>
        <v>0</v>
      </c>
      <c r="BW12" s="59">
        <f t="shared" si="192"/>
        <v>0</v>
      </c>
      <c r="BX12" s="26"/>
      <c r="BY12" s="68"/>
      <c r="BZ12" s="31"/>
      <c r="CA12" s="12"/>
      <c r="CB12" s="12"/>
      <c r="CC12" s="12"/>
      <c r="CD12" s="15"/>
      <c r="CE12" s="15"/>
      <c r="CF12" s="15"/>
      <c r="CG12" s="61">
        <f t="shared" si="5"/>
        <v>0</v>
      </c>
      <c r="CH12" s="66">
        <f t="shared" si="47"/>
        <v>0</v>
      </c>
      <c r="CI12" s="12">
        <f t="shared" si="6"/>
        <v>0</v>
      </c>
      <c r="CJ12" s="12">
        <f t="shared" si="6"/>
        <v>0</v>
      </c>
      <c r="CK12" s="12">
        <f t="shared" si="6"/>
        <v>0</v>
      </c>
      <c r="CL12" s="12">
        <f t="shared" si="6"/>
        <v>0</v>
      </c>
      <c r="CM12" s="12">
        <f t="shared" si="6"/>
        <v>0</v>
      </c>
      <c r="CN12" s="16">
        <f t="shared" si="6"/>
        <v>0</v>
      </c>
      <c r="CO12" s="59">
        <f t="shared" si="193"/>
        <v>0</v>
      </c>
      <c r="CP12" s="26"/>
      <c r="CQ12" s="68"/>
      <c r="CR12" s="12"/>
      <c r="CS12" s="12"/>
      <c r="CT12" s="12"/>
      <c r="CU12" s="12"/>
      <c r="CV12" s="15"/>
      <c r="CW12" s="15"/>
      <c r="CX12" s="15"/>
      <c r="CY12" s="61">
        <f t="shared" si="7"/>
        <v>0</v>
      </c>
      <c r="CZ12" s="66">
        <f t="shared" si="194"/>
        <v>0</v>
      </c>
      <c r="DA12" s="12">
        <f t="shared" si="8"/>
        <v>0</v>
      </c>
      <c r="DB12" s="12">
        <f t="shared" si="8"/>
        <v>0</v>
      </c>
      <c r="DC12" s="12">
        <f t="shared" si="8"/>
        <v>0</v>
      </c>
      <c r="DD12" s="12">
        <f t="shared" si="8"/>
        <v>0</v>
      </c>
      <c r="DE12" s="12">
        <f t="shared" si="8"/>
        <v>0</v>
      </c>
      <c r="DF12" s="16">
        <f t="shared" si="8"/>
        <v>0</v>
      </c>
      <c r="DG12" s="59">
        <f t="shared" si="195"/>
        <v>0</v>
      </c>
      <c r="DH12" s="26"/>
      <c r="DI12" s="68"/>
      <c r="DJ12" s="12"/>
      <c r="DK12" s="12"/>
      <c r="DL12" s="12"/>
      <c r="DM12" s="12"/>
      <c r="DN12" s="15"/>
      <c r="DO12" s="15"/>
      <c r="DP12" s="15"/>
      <c r="DQ12" s="61">
        <f t="shared" si="9"/>
        <v>0</v>
      </c>
      <c r="DR12" s="66">
        <f t="shared" si="48"/>
        <v>0</v>
      </c>
      <c r="DS12" s="12">
        <f t="shared" si="10"/>
        <v>0</v>
      </c>
      <c r="DT12" s="12">
        <f t="shared" si="10"/>
        <v>0</v>
      </c>
      <c r="DU12" s="12">
        <f t="shared" si="10"/>
        <v>0</v>
      </c>
      <c r="DV12" s="12">
        <f t="shared" si="10"/>
        <v>0</v>
      </c>
      <c r="DW12" s="12">
        <f t="shared" si="10"/>
        <v>0</v>
      </c>
      <c r="DX12" s="16">
        <f t="shared" si="10"/>
        <v>0</v>
      </c>
      <c r="DY12" s="59">
        <f t="shared" si="196"/>
        <v>0</v>
      </c>
      <c r="DZ12" s="26"/>
      <c r="EA12" s="68"/>
      <c r="EB12" s="12"/>
      <c r="EC12" s="12"/>
      <c r="ED12" s="12"/>
      <c r="EE12" s="15"/>
      <c r="EF12" s="15"/>
      <c r="EG12" s="15"/>
      <c r="EH12" s="61">
        <f t="shared" si="197"/>
        <v>0</v>
      </c>
      <c r="EI12" s="66">
        <f t="shared" si="11"/>
        <v>0</v>
      </c>
      <c r="EJ12" s="12">
        <f t="shared" si="11"/>
        <v>0</v>
      </c>
      <c r="EK12" s="12">
        <f t="shared" si="11"/>
        <v>0</v>
      </c>
      <c r="EL12" s="12">
        <f t="shared" si="11"/>
        <v>0</v>
      </c>
      <c r="EM12" s="12">
        <f t="shared" si="11"/>
        <v>0</v>
      </c>
      <c r="EN12" s="16">
        <f t="shared" si="11"/>
        <v>0</v>
      </c>
      <c r="EO12" s="59">
        <f t="shared" si="198"/>
        <v>0</v>
      </c>
      <c r="EP12" s="26">
        <v>19999.82</v>
      </c>
      <c r="EQ12" s="68">
        <f>12/30</f>
        <v>0.4</v>
      </c>
      <c r="ER12" s="12"/>
      <c r="ES12" s="12"/>
      <c r="ET12" s="15"/>
      <c r="EU12" s="15">
        <v>0.4</v>
      </c>
      <c r="EV12" s="61">
        <f t="shared" si="199"/>
        <v>0</v>
      </c>
      <c r="EW12" s="66">
        <f t="shared" si="49"/>
        <v>0</v>
      </c>
      <c r="EX12" s="12">
        <f t="shared" si="49"/>
        <v>0</v>
      </c>
      <c r="EY12" s="12">
        <f t="shared" si="49"/>
        <v>0</v>
      </c>
      <c r="EZ12" s="16">
        <f t="shared" si="49"/>
        <v>19999.82</v>
      </c>
      <c r="FA12" s="59">
        <f t="shared" si="200"/>
        <v>0</v>
      </c>
      <c r="FB12" s="26">
        <v>44000</v>
      </c>
      <c r="FC12" s="68">
        <v>1</v>
      </c>
      <c r="FD12" s="12"/>
      <c r="FE12" s="15"/>
      <c r="FF12" s="15">
        <v>1</v>
      </c>
      <c r="FG12" s="61">
        <f t="shared" si="201"/>
        <v>0</v>
      </c>
      <c r="FH12" s="66">
        <f t="shared" si="50"/>
        <v>0</v>
      </c>
      <c r="FI12" s="12">
        <f t="shared" si="50"/>
        <v>0</v>
      </c>
      <c r="FJ12" s="16">
        <f t="shared" si="50"/>
        <v>44000</v>
      </c>
      <c r="FK12" s="59">
        <f t="shared" si="202"/>
        <v>0</v>
      </c>
      <c r="FL12" s="26">
        <v>44000</v>
      </c>
      <c r="FM12" s="68">
        <v>1</v>
      </c>
      <c r="FN12" s="12"/>
      <c r="FO12" s="15"/>
      <c r="FP12" s="15"/>
      <c r="FQ12" s="15"/>
      <c r="FR12" s="15">
        <v>1</v>
      </c>
      <c r="FS12" s="61">
        <f t="shared" si="203"/>
        <v>0</v>
      </c>
      <c r="FT12" s="66">
        <f t="shared" si="204"/>
        <v>0</v>
      </c>
      <c r="FU12" s="12">
        <f t="shared" si="205"/>
        <v>0</v>
      </c>
      <c r="FV12" s="12">
        <f t="shared" si="206"/>
        <v>0</v>
      </c>
      <c r="FW12" s="12">
        <f t="shared" si="207"/>
        <v>0</v>
      </c>
      <c r="FX12" s="16">
        <f t="shared" si="51"/>
        <v>44000</v>
      </c>
      <c r="FY12" s="59">
        <f t="shared" si="52"/>
        <v>0</v>
      </c>
      <c r="FZ12" s="26">
        <v>44000</v>
      </c>
      <c r="GA12" s="68">
        <v>1</v>
      </c>
      <c r="GB12" s="12">
        <v>0.5</v>
      </c>
      <c r="GC12" s="15"/>
      <c r="GD12" s="15"/>
      <c r="GE12" s="15">
        <v>0.5</v>
      </c>
      <c r="GF12" s="61">
        <f t="shared" si="208"/>
        <v>0</v>
      </c>
      <c r="GG12" s="66">
        <f t="shared" si="53"/>
        <v>22000</v>
      </c>
      <c r="GH12" s="66">
        <f t="shared" si="12"/>
        <v>22000</v>
      </c>
      <c r="GI12" s="12">
        <f t="shared" si="13"/>
        <v>0</v>
      </c>
      <c r="GJ12" s="12">
        <f t="shared" si="179"/>
        <v>0</v>
      </c>
      <c r="GK12" s="31">
        <f t="shared" si="14"/>
        <v>0</v>
      </c>
      <c r="GL12" s="123">
        <f t="shared" si="15"/>
        <v>22000</v>
      </c>
      <c r="GM12" s="410">
        <f t="shared" si="16"/>
        <v>0</v>
      </c>
      <c r="GN12" s="414">
        <v>44000</v>
      </c>
      <c r="GO12" s="68">
        <v>1</v>
      </c>
      <c r="GP12" s="12"/>
      <c r="GQ12" s="15"/>
      <c r="GR12" s="15"/>
      <c r="GS12" s="15">
        <v>0.25</v>
      </c>
      <c r="GT12" s="15">
        <v>0.75</v>
      </c>
      <c r="GU12" s="61">
        <f t="shared" si="54"/>
        <v>0</v>
      </c>
      <c r="GV12" s="66">
        <f t="shared" si="17"/>
        <v>0</v>
      </c>
      <c r="GW12" s="12">
        <f t="shared" si="18"/>
        <v>0</v>
      </c>
      <c r="GX12" s="12">
        <f t="shared" si="19"/>
        <v>0</v>
      </c>
      <c r="GY12" s="12">
        <f t="shared" si="20"/>
        <v>11000</v>
      </c>
      <c r="GZ12" s="16">
        <f t="shared" si="21"/>
        <v>33000</v>
      </c>
      <c r="HA12" s="59">
        <f t="shared" si="55"/>
        <v>0</v>
      </c>
      <c r="HB12" s="26">
        <v>66000</v>
      </c>
      <c r="HC12" s="68">
        <v>1</v>
      </c>
      <c r="HD12" s="12"/>
      <c r="HE12" s="15"/>
      <c r="HF12" s="15"/>
      <c r="HG12" s="15">
        <v>0.25</v>
      </c>
      <c r="HH12" s="15">
        <v>0.4</v>
      </c>
      <c r="HI12" s="15">
        <v>0.35</v>
      </c>
      <c r="HJ12" s="15"/>
      <c r="HK12" s="15"/>
      <c r="HL12" s="61">
        <f t="shared" si="56"/>
        <v>0</v>
      </c>
      <c r="HM12" s="66">
        <f t="shared" si="22"/>
        <v>0</v>
      </c>
      <c r="HN12" s="12">
        <f t="shared" si="23"/>
        <v>0</v>
      </c>
      <c r="HO12" s="12">
        <f t="shared" si="24"/>
        <v>0</v>
      </c>
      <c r="HP12" s="12">
        <f t="shared" si="25"/>
        <v>16500</v>
      </c>
      <c r="HQ12" s="12">
        <f t="shared" si="26"/>
        <v>26400</v>
      </c>
      <c r="HR12" s="12">
        <f t="shared" si="27"/>
        <v>23100</v>
      </c>
      <c r="HS12" s="12">
        <f t="shared" si="28"/>
        <v>0</v>
      </c>
      <c r="HT12" s="16">
        <f t="shared" si="29"/>
        <v>0</v>
      </c>
      <c r="HU12" s="59">
        <f t="shared" si="57"/>
        <v>0</v>
      </c>
      <c r="HV12" s="26">
        <v>44000</v>
      </c>
      <c r="HW12" s="68">
        <v>1</v>
      </c>
      <c r="HX12" s="12"/>
      <c r="HY12" s="15"/>
      <c r="HZ12" s="61">
        <f t="shared" si="58"/>
        <v>1</v>
      </c>
      <c r="IA12" s="66">
        <f t="shared" si="59"/>
        <v>0</v>
      </c>
      <c r="IB12" s="16">
        <f t="shared" si="59"/>
        <v>0</v>
      </c>
      <c r="IC12" s="59">
        <f t="shared" si="60"/>
        <v>44000</v>
      </c>
      <c r="ID12" s="26">
        <v>66000</v>
      </c>
      <c r="IE12" s="68">
        <v>1</v>
      </c>
      <c r="IF12" s="12"/>
      <c r="IG12" s="15"/>
      <c r="IH12" s="15"/>
      <c r="II12" s="15">
        <v>0.3</v>
      </c>
      <c r="IJ12" s="15">
        <v>0.35</v>
      </c>
      <c r="IK12" s="15">
        <v>0.35</v>
      </c>
      <c r="IL12" s="15"/>
      <c r="IM12" s="15"/>
      <c r="IN12" s="15"/>
      <c r="IO12" s="61">
        <f t="shared" si="61"/>
        <v>0</v>
      </c>
      <c r="IP12" s="66">
        <f t="shared" si="180"/>
        <v>0</v>
      </c>
      <c r="IQ12" s="12">
        <f t="shared" si="181"/>
        <v>0</v>
      </c>
      <c r="IR12" s="12">
        <f t="shared" si="182"/>
        <v>0</v>
      </c>
      <c r="IS12" s="12">
        <f t="shared" si="183"/>
        <v>19800</v>
      </c>
      <c r="IT12" s="12">
        <f t="shared" si="184"/>
        <v>23100</v>
      </c>
      <c r="IU12" s="12">
        <f t="shared" si="185"/>
        <v>23100</v>
      </c>
      <c r="IV12" s="12">
        <f t="shared" si="186"/>
        <v>0</v>
      </c>
      <c r="IW12" s="15">
        <f t="shared" si="187"/>
        <v>0</v>
      </c>
      <c r="IX12" s="16">
        <f t="shared" si="188"/>
        <v>0</v>
      </c>
      <c r="IY12" s="59">
        <f t="shared" si="70"/>
        <v>0</v>
      </c>
      <c r="IZ12" s="26">
        <v>66000</v>
      </c>
      <c r="JA12" s="68">
        <v>1</v>
      </c>
      <c r="JB12" s="12"/>
      <c r="JC12" s="15"/>
      <c r="JD12" s="15"/>
      <c r="JE12" s="15">
        <v>0.25</v>
      </c>
      <c r="JF12" s="15">
        <v>0.3</v>
      </c>
      <c r="JG12" s="15">
        <v>0.45</v>
      </c>
      <c r="JH12" s="15"/>
      <c r="JI12" s="15"/>
      <c r="JJ12" s="15"/>
      <c r="JK12" s="61">
        <f t="shared" si="71"/>
        <v>0</v>
      </c>
      <c r="JL12" s="66">
        <f t="shared" si="72"/>
        <v>0</v>
      </c>
      <c r="JM12" s="12">
        <f t="shared" si="73"/>
        <v>0</v>
      </c>
      <c r="JN12" s="12">
        <f t="shared" si="74"/>
        <v>0</v>
      </c>
      <c r="JO12" s="12">
        <f t="shared" si="75"/>
        <v>16500</v>
      </c>
      <c r="JP12" s="12">
        <f t="shared" si="76"/>
        <v>19800</v>
      </c>
      <c r="JQ12" s="12">
        <f t="shared" si="77"/>
        <v>29700</v>
      </c>
      <c r="JR12" s="12">
        <f t="shared" si="78"/>
        <v>0</v>
      </c>
      <c r="JS12" s="12">
        <f t="shared" si="79"/>
        <v>0</v>
      </c>
      <c r="JT12" s="16">
        <f t="shared" si="80"/>
        <v>0</v>
      </c>
      <c r="JU12" s="59">
        <f t="shared" si="81"/>
        <v>0</v>
      </c>
      <c r="JV12" s="26">
        <f>56571.43+7243.96</f>
        <v>63815.39</v>
      </c>
      <c r="JW12" s="68">
        <v>1</v>
      </c>
      <c r="JX12" s="12"/>
      <c r="JY12" s="12"/>
      <c r="JZ12" s="15"/>
      <c r="KA12" s="15">
        <v>0.25</v>
      </c>
      <c r="KB12" s="15">
        <v>0.4</v>
      </c>
      <c r="KC12" s="15">
        <v>0.25</v>
      </c>
      <c r="KD12" s="15"/>
      <c r="KE12" s="15"/>
      <c r="KF12" s="15">
        <v>0.1</v>
      </c>
      <c r="KG12" s="61">
        <f t="shared" si="82"/>
        <v>0</v>
      </c>
      <c r="KH12" s="146">
        <f t="shared" si="83"/>
        <v>0</v>
      </c>
      <c r="KI12" s="12">
        <f t="shared" si="83"/>
        <v>0</v>
      </c>
      <c r="KJ12" s="12">
        <f t="shared" si="84"/>
        <v>0</v>
      </c>
      <c r="KK12" s="12">
        <f t="shared" si="85"/>
        <v>15953.85</v>
      </c>
      <c r="KL12" s="12">
        <f t="shared" si="86"/>
        <v>25526.16</v>
      </c>
      <c r="KM12" s="12">
        <f t="shared" si="87"/>
        <v>15953.85</v>
      </c>
      <c r="KN12" s="12">
        <f t="shared" si="88"/>
        <v>0</v>
      </c>
      <c r="KO12" s="12">
        <f t="shared" si="89"/>
        <v>0</v>
      </c>
      <c r="KP12" s="16">
        <f t="shared" si="90"/>
        <v>6381.54</v>
      </c>
      <c r="KQ12" s="59">
        <f t="shared" si="91"/>
        <v>-0.01</v>
      </c>
      <c r="KR12" s="26">
        <v>66000</v>
      </c>
      <c r="KS12" s="68">
        <v>1</v>
      </c>
      <c r="KT12" s="12"/>
      <c r="KU12" s="15"/>
      <c r="KV12" s="15">
        <v>0.25</v>
      </c>
      <c r="KW12" s="15">
        <v>0.3</v>
      </c>
      <c r="KX12" s="15">
        <v>0.35</v>
      </c>
      <c r="KY12" s="15"/>
      <c r="KZ12" s="15"/>
      <c r="LA12" s="15">
        <v>0.1</v>
      </c>
      <c r="LB12" s="61">
        <f t="shared" si="92"/>
        <v>0</v>
      </c>
      <c r="LC12" s="66">
        <f t="shared" si="93"/>
        <v>0</v>
      </c>
      <c r="LD12" s="12">
        <f t="shared" si="94"/>
        <v>0</v>
      </c>
      <c r="LE12" s="12">
        <f t="shared" si="95"/>
        <v>16500</v>
      </c>
      <c r="LF12" s="12">
        <f t="shared" si="96"/>
        <v>19800</v>
      </c>
      <c r="LG12" s="12">
        <f t="shared" si="97"/>
        <v>23100</v>
      </c>
      <c r="LH12" s="12">
        <f t="shared" si="98"/>
        <v>0</v>
      </c>
      <c r="LI12" s="12">
        <f t="shared" si="99"/>
        <v>0</v>
      </c>
      <c r="LJ12" s="16">
        <f t="shared" si="100"/>
        <v>6600</v>
      </c>
      <c r="LK12" s="59">
        <f t="shared" si="101"/>
        <v>0</v>
      </c>
      <c r="LL12" s="26">
        <v>61427.85</v>
      </c>
      <c r="LM12" s="68">
        <v>1</v>
      </c>
      <c r="LN12" s="15"/>
      <c r="LO12" s="15">
        <v>0.25</v>
      </c>
      <c r="LP12" s="15">
        <v>0.45</v>
      </c>
      <c r="LQ12" s="15">
        <v>0.2</v>
      </c>
      <c r="LR12" s="15"/>
      <c r="LS12" s="15"/>
      <c r="LT12" s="15">
        <v>0.1</v>
      </c>
      <c r="LU12" s="61">
        <f t="shared" si="102"/>
        <v>0</v>
      </c>
      <c r="LV12" s="66">
        <f t="shared" si="103"/>
        <v>0</v>
      </c>
      <c r="LW12" s="12">
        <f t="shared" si="104"/>
        <v>15356.96</v>
      </c>
      <c r="LX12" s="12">
        <f t="shared" si="105"/>
        <v>27642.53</v>
      </c>
      <c r="LY12" s="12">
        <f t="shared" si="106"/>
        <v>12285.57</v>
      </c>
      <c r="LZ12" s="12">
        <f t="shared" si="107"/>
        <v>0</v>
      </c>
      <c r="MA12" s="12">
        <f t="shared" si="108"/>
        <v>0</v>
      </c>
      <c r="MB12" s="16">
        <f t="shared" si="109"/>
        <v>6142.79</v>
      </c>
      <c r="MC12" s="59">
        <f t="shared" si="110"/>
        <v>0</v>
      </c>
      <c r="MD12" s="26">
        <v>66000</v>
      </c>
      <c r="ME12" s="68">
        <v>1</v>
      </c>
      <c r="MF12" s="15"/>
      <c r="MG12" s="15">
        <v>0.5</v>
      </c>
      <c r="MH12" s="15">
        <v>0.4</v>
      </c>
      <c r="MI12" s="15"/>
      <c r="MJ12" s="15"/>
      <c r="MK12" s="15"/>
      <c r="ML12" s="15">
        <v>0.1</v>
      </c>
      <c r="MM12" s="61">
        <f t="shared" si="111"/>
        <v>0</v>
      </c>
      <c r="MN12" s="66">
        <f t="shared" si="112"/>
        <v>0</v>
      </c>
      <c r="MO12" s="12">
        <f t="shared" si="113"/>
        <v>33000</v>
      </c>
      <c r="MP12" s="12">
        <f t="shared" si="114"/>
        <v>26400</v>
      </c>
      <c r="MQ12" s="12">
        <f t="shared" si="115"/>
        <v>0</v>
      </c>
      <c r="MR12" s="12">
        <f t="shared" si="116"/>
        <v>0</v>
      </c>
      <c r="MS12" s="12">
        <f t="shared" si="116"/>
        <v>0</v>
      </c>
      <c r="MT12" s="16">
        <f t="shared" si="117"/>
        <v>6600</v>
      </c>
      <c r="MU12" s="59">
        <f t="shared" si="189"/>
        <v>0</v>
      </c>
      <c r="MV12" s="621">
        <v>66000</v>
      </c>
      <c r="MW12" s="619">
        <v>1</v>
      </c>
      <c r="MX12" s="15"/>
      <c r="MY12" s="15">
        <v>0.3</v>
      </c>
      <c r="MZ12" s="15">
        <v>0.5</v>
      </c>
      <c r="NA12" s="15"/>
      <c r="NB12" s="15"/>
      <c r="NC12" s="15"/>
      <c r="ND12" s="15">
        <v>0.2</v>
      </c>
      <c r="NE12" s="61">
        <f t="shared" si="118"/>
        <v>0</v>
      </c>
      <c r="NF12" s="66">
        <f t="shared" si="119"/>
        <v>0</v>
      </c>
      <c r="NG12" s="12">
        <f t="shared" si="120"/>
        <v>19800</v>
      </c>
      <c r="NH12" s="12">
        <f t="shared" si="121"/>
        <v>33000</v>
      </c>
      <c r="NI12" s="12">
        <f t="shared" si="122"/>
        <v>0</v>
      </c>
      <c r="NJ12" s="12">
        <f t="shared" si="123"/>
        <v>0</v>
      </c>
      <c r="NK12" s="12">
        <f t="shared" si="123"/>
        <v>0</v>
      </c>
      <c r="NL12" s="16">
        <f t="shared" si="124"/>
        <v>13200</v>
      </c>
      <c r="NM12" s="59">
        <f t="shared" si="125"/>
        <v>0</v>
      </c>
      <c r="NN12" s="621">
        <v>77000</v>
      </c>
      <c r="NO12" s="619">
        <v>1</v>
      </c>
      <c r="NP12" s="15"/>
      <c r="NQ12" s="15">
        <v>0.5</v>
      </c>
      <c r="NR12" s="15"/>
      <c r="NS12" s="15"/>
      <c r="NT12" s="15">
        <v>0.5</v>
      </c>
      <c r="NU12" s="61">
        <f t="shared" si="126"/>
        <v>0</v>
      </c>
      <c r="NV12" s="66">
        <f t="shared" si="190"/>
        <v>0</v>
      </c>
      <c r="NW12" s="12">
        <f>IF($NO12&lt;&gt;0,NQ12*$NN12/$NO12,0)</f>
        <v>38500</v>
      </c>
      <c r="NX12" s="12">
        <f t="shared" si="210"/>
        <v>0</v>
      </c>
      <c r="NY12" s="12">
        <f t="shared" si="211"/>
        <v>0</v>
      </c>
      <c r="NZ12" s="16">
        <f t="shared" si="212"/>
        <v>38500</v>
      </c>
      <c r="OA12" s="59">
        <f t="shared" si="131"/>
        <v>0</v>
      </c>
      <c r="OB12" s="135">
        <v>77000</v>
      </c>
      <c r="OC12" s="133">
        <v>1</v>
      </c>
      <c r="OD12" s="15"/>
      <c r="OE12" s="15">
        <v>0.5</v>
      </c>
      <c r="OF12" s="15"/>
      <c r="OG12" s="15"/>
      <c r="OH12" s="15">
        <v>0.5</v>
      </c>
      <c r="OI12" s="61">
        <f t="shared" si="163"/>
        <v>0</v>
      </c>
      <c r="OJ12" s="66">
        <f t="shared" si="132"/>
        <v>0</v>
      </c>
      <c r="OK12" s="12">
        <f>IF($OC12&lt;&gt;0,OE12*$OB12/$OC12,0)</f>
        <v>38500</v>
      </c>
      <c r="OL12" s="12">
        <f t="shared" si="134"/>
        <v>0</v>
      </c>
      <c r="OM12" s="12">
        <f t="shared" si="135"/>
        <v>0</v>
      </c>
      <c r="ON12" s="16">
        <f t="shared" si="136"/>
        <v>38500</v>
      </c>
      <c r="OO12" s="59">
        <f t="shared" si="137"/>
        <v>0</v>
      </c>
      <c r="OP12" s="135">
        <v>77000</v>
      </c>
      <c r="OQ12" s="133">
        <v>1</v>
      </c>
      <c r="OR12" s="15"/>
      <c r="OS12" s="15">
        <v>0.5</v>
      </c>
      <c r="OT12" s="15"/>
      <c r="OU12" s="15"/>
      <c r="OV12" s="15">
        <v>0.5</v>
      </c>
      <c r="OW12" s="61">
        <f t="shared" si="138"/>
        <v>0</v>
      </c>
      <c r="OX12" s="66">
        <f t="shared" si="139"/>
        <v>0</v>
      </c>
      <c r="OY12" s="12">
        <f>IF($OQ12&lt;&gt;0,OS12*$OP12/$OQ12,0)</f>
        <v>38500</v>
      </c>
      <c r="OZ12" s="12">
        <f t="shared" si="141"/>
        <v>0</v>
      </c>
      <c r="PA12" s="12">
        <f t="shared" si="142"/>
        <v>0</v>
      </c>
      <c r="PB12" s="878">
        <f>IF($OQ12&lt;&gt;0,OV12*$OP12/$OQ12,0)-4723.04</f>
        <v>33776.959999999999</v>
      </c>
      <c r="PC12" s="59">
        <f t="shared" si="144"/>
        <v>4723.04</v>
      </c>
      <c r="PD12" s="135">
        <v>77000</v>
      </c>
      <c r="PE12" s="133">
        <v>1</v>
      </c>
      <c r="PF12" s="15"/>
      <c r="PG12" s="15"/>
      <c r="PH12" s="15"/>
      <c r="PI12" s="15"/>
      <c r="PJ12" s="15">
        <v>0.4</v>
      </c>
      <c r="PK12" s="61">
        <f t="shared" si="145"/>
        <v>0.6</v>
      </c>
      <c r="PL12" s="66">
        <f t="shared" si="174"/>
        <v>0</v>
      </c>
      <c r="PM12" s="12">
        <f t="shared" si="175"/>
        <v>0</v>
      </c>
      <c r="PN12" s="12">
        <f t="shared" si="176"/>
        <v>0</v>
      </c>
      <c r="PO12" s="12">
        <f t="shared" si="177"/>
        <v>0</v>
      </c>
      <c r="PP12" s="878">
        <f>IF($PE12&lt;&gt;0,PJ12*$PD12/$PE12,0)-200</f>
        <v>30600</v>
      </c>
      <c r="PQ12" s="59">
        <f t="shared" si="150"/>
        <v>46400</v>
      </c>
      <c r="PS12" s="885">
        <f t="shared" si="151"/>
        <v>2.5</v>
      </c>
    </row>
    <row r="13" spans="2:435" x14ac:dyDescent="0.2">
      <c r="B13" s="24">
        <v>8</v>
      </c>
      <c r="C13" s="25" t="s">
        <v>108</v>
      </c>
      <c r="D13" s="26"/>
      <c r="E13" s="42"/>
      <c r="F13" s="31"/>
      <c r="G13" s="12"/>
      <c r="H13" s="12"/>
      <c r="I13" s="12"/>
      <c r="J13" s="12"/>
      <c r="K13" s="12"/>
      <c r="L13" s="15"/>
      <c r="M13" s="61"/>
      <c r="N13" s="31"/>
      <c r="O13" s="12"/>
      <c r="P13" s="12"/>
      <c r="Q13" s="12"/>
      <c r="R13" s="12"/>
      <c r="S13" s="12"/>
      <c r="T13" s="15"/>
      <c r="U13" s="59"/>
      <c r="V13" s="26"/>
      <c r="W13" s="42"/>
      <c r="X13" s="31"/>
      <c r="Y13" s="12"/>
      <c r="Z13" s="12"/>
      <c r="AA13" s="12"/>
      <c r="AB13" s="12"/>
      <c r="AC13" s="12"/>
      <c r="AD13" s="15"/>
      <c r="AE13" s="15"/>
      <c r="AF13" s="61"/>
      <c r="AG13" s="35"/>
      <c r="AH13" s="35"/>
      <c r="AI13" s="35"/>
      <c r="AJ13" s="35"/>
      <c r="AK13" s="35"/>
      <c r="AL13" s="35"/>
      <c r="AM13" s="35"/>
      <c r="AN13" s="35"/>
      <c r="AO13" s="62"/>
      <c r="AP13" s="26"/>
      <c r="AQ13" s="42"/>
      <c r="AR13" s="12"/>
      <c r="AS13" s="12"/>
      <c r="AT13" s="12"/>
      <c r="AU13" s="12"/>
      <c r="AV13" s="15"/>
      <c r="AW13" s="15"/>
      <c r="AX13" s="61"/>
      <c r="AY13" s="35"/>
      <c r="AZ13" s="35"/>
      <c r="BA13" s="35"/>
      <c r="BB13" s="35"/>
      <c r="BC13" s="35"/>
      <c r="BD13" s="34"/>
      <c r="BE13" s="59"/>
      <c r="BF13" s="26"/>
      <c r="BG13" s="42"/>
      <c r="BH13" s="12"/>
      <c r="BI13" s="12"/>
      <c r="BJ13" s="12"/>
      <c r="BK13" s="12"/>
      <c r="BL13" s="15"/>
      <c r="BM13" s="15"/>
      <c r="BN13" s="15"/>
      <c r="BO13" s="61"/>
      <c r="BP13" s="65"/>
      <c r="BQ13" s="33"/>
      <c r="BR13" s="33"/>
      <c r="BS13" s="33"/>
      <c r="BT13" s="33"/>
      <c r="BU13" s="33"/>
      <c r="BV13" s="34"/>
      <c r="BW13" s="59"/>
      <c r="BX13" s="27"/>
      <c r="BY13" s="68"/>
      <c r="BZ13" s="31"/>
      <c r="CA13" s="12"/>
      <c r="CB13" s="12"/>
      <c r="CC13" s="12"/>
      <c r="CD13" s="15"/>
      <c r="CE13" s="15"/>
      <c r="CF13" s="15"/>
      <c r="CG13" s="61"/>
      <c r="CH13" s="66"/>
      <c r="CI13" s="12"/>
      <c r="CJ13" s="12"/>
      <c r="CK13" s="12"/>
      <c r="CL13" s="12"/>
      <c r="CM13" s="12"/>
      <c r="CN13" s="16"/>
      <c r="CO13" s="59"/>
      <c r="CP13" s="27"/>
      <c r="CQ13" s="68"/>
      <c r="CR13" s="12"/>
      <c r="CS13" s="12"/>
      <c r="CT13" s="12"/>
      <c r="CU13" s="12"/>
      <c r="CV13" s="15"/>
      <c r="CW13" s="15"/>
      <c r="CX13" s="15"/>
      <c r="CY13" s="61"/>
      <c r="CZ13" s="66"/>
      <c r="DA13" s="12"/>
      <c r="DB13" s="12"/>
      <c r="DC13" s="12"/>
      <c r="DD13" s="12"/>
      <c r="DE13" s="12"/>
      <c r="DF13" s="16"/>
      <c r="DG13" s="59"/>
      <c r="DH13" s="27"/>
      <c r="DI13" s="68"/>
      <c r="DJ13" s="12"/>
      <c r="DK13" s="12"/>
      <c r="DL13" s="12"/>
      <c r="DM13" s="12"/>
      <c r="DN13" s="15"/>
      <c r="DO13" s="15"/>
      <c r="DP13" s="15"/>
      <c r="DQ13" s="61"/>
      <c r="DR13" s="66"/>
      <c r="DS13" s="12"/>
      <c r="DT13" s="12"/>
      <c r="DU13" s="12"/>
      <c r="DV13" s="12"/>
      <c r="DW13" s="12"/>
      <c r="DX13" s="16"/>
      <c r="DY13" s="59"/>
      <c r="DZ13" s="27"/>
      <c r="EA13" s="68"/>
      <c r="EB13" s="12"/>
      <c r="EC13" s="12"/>
      <c r="ED13" s="12"/>
      <c r="EE13" s="15"/>
      <c r="EF13" s="15"/>
      <c r="EG13" s="15"/>
      <c r="EH13" s="61"/>
      <c r="EI13" s="66"/>
      <c r="EJ13" s="12"/>
      <c r="EK13" s="12"/>
      <c r="EL13" s="12"/>
      <c r="EM13" s="12"/>
      <c r="EN13" s="16"/>
      <c r="EO13" s="59"/>
      <c r="EP13" s="27"/>
      <c r="EQ13" s="68"/>
      <c r="ER13" s="12"/>
      <c r="ES13" s="12"/>
      <c r="ET13" s="15"/>
      <c r="EU13" s="15"/>
      <c r="EV13" s="61"/>
      <c r="EW13" s="66"/>
      <c r="EX13" s="12"/>
      <c r="EY13" s="12"/>
      <c r="EZ13" s="16"/>
      <c r="FA13" s="59"/>
      <c r="FB13" s="27"/>
      <c r="FC13" s="68"/>
      <c r="FD13" s="12"/>
      <c r="FE13" s="15"/>
      <c r="FF13" s="15"/>
      <c r="FG13" s="61"/>
      <c r="FH13" s="66"/>
      <c r="FI13" s="12"/>
      <c r="FJ13" s="16"/>
      <c r="FK13" s="59"/>
      <c r="FL13" s="27"/>
      <c r="FM13" s="68"/>
      <c r="FN13" s="12"/>
      <c r="FO13" s="15"/>
      <c r="FP13" s="15"/>
      <c r="FQ13" s="15"/>
      <c r="FR13" s="15"/>
      <c r="FS13" s="61"/>
      <c r="FT13" s="66"/>
      <c r="FU13" s="12"/>
      <c r="FV13" s="12"/>
      <c r="FW13" s="12"/>
      <c r="FX13" s="16"/>
      <c r="FY13" s="59"/>
      <c r="FZ13" s="27"/>
      <c r="GA13" s="68"/>
      <c r="GB13" s="12"/>
      <c r="GC13" s="15"/>
      <c r="GD13" s="15"/>
      <c r="GE13" s="15"/>
      <c r="GF13" s="61"/>
      <c r="GG13" s="66"/>
      <c r="GH13" s="66"/>
      <c r="GI13" s="12"/>
      <c r="GJ13" s="12">
        <f t="shared" si="179"/>
        <v>0</v>
      </c>
      <c r="GK13" s="31"/>
      <c r="GL13" s="123"/>
      <c r="GM13" s="410"/>
      <c r="GN13" s="414"/>
      <c r="GO13" s="68"/>
      <c r="GP13" s="12"/>
      <c r="GQ13" s="15"/>
      <c r="GR13" s="15"/>
      <c r="GS13" s="15"/>
      <c r="GT13" s="15"/>
      <c r="GU13" s="61"/>
      <c r="GV13" s="66"/>
      <c r="GW13" s="12"/>
      <c r="GX13" s="12"/>
      <c r="GY13" s="12"/>
      <c r="GZ13" s="16"/>
      <c r="HA13" s="59"/>
      <c r="HB13" s="27"/>
      <c r="HC13" s="68"/>
      <c r="HD13" s="12"/>
      <c r="HE13" s="15"/>
      <c r="HF13" s="15"/>
      <c r="HG13" s="15"/>
      <c r="HH13" s="15"/>
      <c r="HI13" s="15"/>
      <c r="HJ13" s="15"/>
      <c r="HK13" s="15"/>
      <c r="HL13" s="61"/>
      <c r="HM13" s="66"/>
      <c r="HN13" s="12"/>
      <c r="HO13" s="12"/>
      <c r="HP13" s="12"/>
      <c r="HQ13" s="12"/>
      <c r="HR13" s="12"/>
      <c r="HS13" s="12"/>
      <c r="HT13" s="16"/>
      <c r="HU13" s="59"/>
      <c r="HV13" s="27"/>
      <c r="HW13" s="68"/>
      <c r="HX13" s="12"/>
      <c r="HY13" s="15"/>
      <c r="HZ13" s="61"/>
      <c r="IA13" s="66"/>
      <c r="IB13" s="16"/>
      <c r="IC13" s="59"/>
      <c r="ID13" s="129">
        <v>28285.72</v>
      </c>
      <c r="IE13" s="68">
        <f>26/31/2</f>
        <v>0.42</v>
      </c>
      <c r="IF13" s="12"/>
      <c r="IG13" s="15"/>
      <c r="IH13" s="15"/>
      <c r="II13" s="15"/>
      <c r="IJ13" s="15"/>
      <c r="IK13" s="15"/>
      <c r="IL13" s="15"/>
      <c r="IM13" s="15">
        <v>0.4</v>
      </c>
      <c r="IN13" s="15"/>
      <c r="IO13" s="61">
        <f t="shared" si="61"/>
        <v>0.02</v>
      </c>
      <c r="IP13" s="66">
        <f t="shared" si="180"/>
        <v>0</v>
      </c>
      <c r="IQ13" s="12">
        <f t="shared" si="181"/>
        <v>0</v>
      </c>
      <c r="IR13" s="12">
        <f t="shared" si="182"/>
        <v>0</v>
      </c>
      <c r="IS13" s="12">
        <f t="shared" si="183"/>
        <v>0</v>
      </c>
      <c r="IT13" s="12">
        <f t="shared" si="184"/>
        <v>0</v>
      </c>
      <c r="IU13" s="12">
        <f t="shared" si="185"/>
        <v>0</v>
      </c>
      <c r="IV13" s="12">
        <f t="shared" si="186"/>
        <v>0</v>
      </c>
      <c r="IW13" s="15">
        <f t="shared" si="187"/>
        <v>26938.78</v>
      </c>
      <c r="IX13" s="16">
        <f t="shared" si="188"/>
        <v>0</v>
      </c>
      <c r="IY13" s="59">
        <f t="shared" si="70"/>
        <v>1346.94</v>
      </c>
      <c r="IZ13" s="129">
        <v>33000</v>
      </c>
      <c r="JA13" s="68">
        <v>0.5</v>
      </c>
      <c r="JB13" s="12"/>
      <c r="JC13" s="15"/>
      <c r="JD13" s="15"/>
      <c r="JE13" s="15"/>
      <c r="JF13" s="15"/>
      <c r="JG13" s="15"/>
      <c r="JH13" s="15"/>
      <c r="JI13" s="15">
        <v>0.5</v>
      </c>
      <c r="JJ13" s="15"/>
      <c r="JK13" s="61">
        <f t="shared" si="71"/>
        <v>0</v>
      </c>
      <c r="JL13" s="66">
        <f t="shared" si="72"/>
        <v>0</v>
      </c>
      <c r="JM13" s="12">
        <f t="shared" si="73"/>
        <v>0</v>
      </c>
      <c r="JN13" s="12">
        <f t="shared" si="74"/>
        <v>0</v>
      </c>
      <c r="JO13" s="12">
        <f t="shared" si="75"/>
        <v>0</v>
      </c>
      <c r="JP13" s="12">
        <f t="shared" si="76"/>
        <v>0</v>
      </c>
      <c r="JQ13" s="12">
        <f t="shared" si="77"/>
        <v>0</v>
      </c>
      <c r="JR13" s="12">
        <f t="shared" si="78"/>
        <v>0</v>
      </c>
      <c r="JS13" s="12">
        <f t="shared" si="79"/>
        <v>33000</v>
      </c>
      <c r="JT13" s="16">
        <f t="shared" si="80"/>
        <v>0</v>
      </c>
      <c r="JU13" s="59">
        <f t="shared" si="81"/>
        <v>0</v>
      </c>
      <c r="JV13" s="129">
        <v>33000</v>
      </c>
      <c r="JW13" s="68">
        <v>0.5</v>
      </c>
      <c r="JX13" s="12"/>
      <c r="JY13" s="12"/>
      <c r="JZ13" s="15"/>
      <c r="KA13" s="15"/>
      <c r="KB13" s="15"/>
      <c r="KC13" s="15"/>
      <c r="KD13" s="15"/>
      <c r="KE13" s="15">
        <v>0.5</v>
      </c>
      <c r="KF13" s="15"/>
      <c r="KG13" s="61">
        <f t="shared" si="82"/>
        <v>0</v>
      </c>
      <c r="KH13" s="146">
        <f t="shared" si="83"/>
        <v>0</v>
      </c>
      <c r="KI13" s="12">
        <f t="shared" si="83"/>
        <v>0</v>
      </c>
      <c r="KJ13" s="12">
        <f t="shared" si="84"/>
        <v>0</v>
      </c>
      <c r="KK13" s="12">
        <f t="shared" si="85"/>
        <v>0</v>
      </c>
      <c r="KL13" s="12">
        <f t="shared" si="86"/>
        <v>0</v>
      </c>
      <c r="KM13" s="12">
        <f t="shared" si="87"/>
        <v>0</v>
      </c>
      <c r="KN13" s="12">
        <f t="shared" si="88"/>
        <v>0</v>
      </c>
      <c r="KO13" s="12">
        <f t="shared" si="89"/>
        <v>33000</v>
      </c>
      <c r="KP13" s="16">
        <f t="shared" si="90"/>
        <v>0</v>
      </c>
      <c r="KQ13" s="59">
        <f t="shared" si="91"/>
        <v>0</v>
      </c>
      <c r="KR13" s="129">
        <v>33000</v>
      </c>
      <c r="KS13" s="68">
        <v>0.5</v>
      </c>
      <c r="KT13" s="12"/>
      <c r="KU13" s="15"/>
      <c r="KV13" s="15"/>
      <c r="KW13" s="15"/>
      <c r="KX13" s="15"/>
      <c r="KY13" s="15"/>
      <c r="KZ13" s="15">
        <v>0.5</v>
      </c>
      <c r="LA13" s="15"/>
      <c r="LB13" s="61">
        <f t="shared" si="92"/>
        <v>0</v>
      </c>
      <c r="LC13" s="66">
        <f t="shared" si="93"/>
        <v>0</v>
      </c>
      <c r="LD13" s="12">
        <f t="shared" si="94"/>
        <v>0</v>
      </c>
      <c r="LE13" s="12">
        <f t="shared" si="95"/>
        <v>0</v>
      </c>
      <c r="LF13" s="12">
        <f t="shared" si="96"/>
        <v>0</v>
      </c>
      <c r="LG13" s="12">
        <f t="shared" si="97"/>
        <v>0</v>
      </c>
      <c r="LH13" s="12">
        <f t="shared" si="98"/>
        <v>0</v>
      </c>
      <c r="LI13" s="12">
        <f t="shared" si="99"/>
        <v>33000</v>
      </c>
      <c r="LJ13" s="16">
        <f t="shared" si="100"/>
        <v>0</v>
      </c>
      <c r="LK13" s="59">
        <f t="shared" si="101"/>
        <v>0</v>
      </c>
      <c r="LL13" s="129">
        <v>33000</v>
      </c>
      <c r="LM13" s="68">
        <v>0.5</v>
      </c>
      <c r="LN13" s="15"/>
      <c r="LO13" s="15"/>
      <c r="LP13" s="15"/>
      <c r="LQ13" s="15"/>
      <c r="LR13" s="15"/>
      <c r="LS13" s="15">
        <v>0.5</v>
      </c>
      <c r="LT13" s="15"/>
      <c r="LU13" s="61">
        <f t="shared" si="102"/>
        <v>0</v>
      </c>
      <c r="LV13" s="66">
        <f t="shared" si="103"/>
        <v>0</v>
      </c>
      <c r="LW13" s="12">
        <f t="shared" si="104"/>
        <v>0</v>
      </c>
      <c r="LX13" s="12">
        <f t="shared" si="105"/>
        <v>0</v>
      </c>
      <c r="LY13" s="12">
        <f t="shared" si="106"/>
        <v>0</v>
      </c>
      <c r="LZ13" s="12">
        <f t="shared" si="107"/>
        <v>0</v>
      </c>
      <c r="MA13" s="12">
        <f t="shared" si="108"/>
        <v>33000</v>
      </c>
      <c r="MB13" s="16">
        <f t="shared" si="109"/>
        <v>0</v>
      </c>
      <c r="MC13" s="59">
        <f t="shared" si="110"/>
        <v>0</v>
      </c>
      <c r="MD13" s="129">
        <v>33000</v>
      </c>
      <c r="ME13" s="68">
        <v>0.5</v>
      </c>
      <c r="MF13" s="15"/>
      <c r="MG13" s="15"/>
      <c r="MH13" s="15"/>
      <c r="MI13" s="15"/>
      <c r="MJ13" s="15">
        <v>0.5</v>
      </c>
      <c r="MK13" s="15"/>
      <c r="ML13" s="15"/>
      <c r="MM13" s="61">
        <f t="shared" si="111"/>
        <v>0</v>
      </c>
      <c r="MN13" s="66">
        <f t="shared" si="112"/>
        <v>0</v>
      </c>
      <c r="MO13" s="12">
        <f t="shared" si="113"/>
        <v>0</v>
      </c>
      <c r="MP13" s="12">
        <f t="shared" si="114"/>
        <v>0</v>
      </c>
      <c r="MQ13" s="12">
        <f t="shared" si="115"/>
        <v>0</v>
      </c>
      <c r="MR13" s="12">
        <f t="shared" si="116"/>
        <v>33000</v>
      </c>
      <c r="MS13" s="12">
        <f t="shared" si="116"/>
        <v>0</v>
      </c>
      <c r="MT13" s="16">
        <f t="shared" si="117"/>
        <v>0</v>
      </c>
      <c r="MU13" s="59">
        <f t="shared" si="189"/>
        <v>0</v>
      </c>
      <c r="MV13" s="617">
        <v>33000</v>
      </c>
      <c r="MW13" s="619">
        <v>0.5</v>
      </c>
      <c r="MX13" s="15"/>
      <c r="MY13" s="15"/>
      <c r="MZ13" s="15"/>
      <c r="NA13" s="15"/>
      <c r="NB13" s="15"/>
      <c r="NC13" s="15"/>
      <c r="ND13" s="15"/>
      <c r="NE13" s="61">
        <f t="shared" si="118"/>
        <v>0.5</v>
      </c>
      <c r="NF13" s="66">
        <f t="shared" si="119"/>
        <v>0</v>
      </c>
      <c r="NG13" s="12">
        <f t="shared" si="120"/>
        <v>0</v>
      </c>
      <c r="NH13" s="12">
        <f t="shared" si="121"/>
        <v>0</v>
      </c>
      <c r="NI13" s="12">
        <f t="shared" si="122"/>
        <v>0</v>
      </c>
      <c r="NJ13" s="12">
        <f t="shared" si="123"/>
        <v>0</v>
      </c>
      <c r="NK13" s="12">
        <f t="shared" si="123"/>
        <v>0</v>
      </c>
      <c r="NL13" s="16">
        <f t="shared" si="124"/>
        <v>0</v>
      </c>
      <c r="NM13" s="59">
        <f t="shared" si="125"/>
        <v>33000</v>
      </c>
      <c r="NN13" s="617">
        <v>37517.31</v>
      </c>
      <c r="NO13" s="619">
        <v>0.5</v>
      </c>
      <c r="NP13" s="15"/>
      <c r="NQ13" s="15"/>
      <c r="NR13" s="15"/>
      <c r="NS13" s="15"/>
      <c r="NT13" s="15"/>
      <c r="NU13" s="61">
        <f t="shared" si="126"/>
        <v>0.5</v>
      </c>
      <c r="NV13" s="66">
        <f t="shared" si="190"/>
        <v>0</v>
      </c>
      <c r="NW13" s="12">
        <f t="shared" si="209"/>
        <v>0</v>
      </c>
      <c r="NX13" s="12">
        <f t="shared" si="210"/>
        <v>0</v>
      </c>
      <c r="NY13" s="12">
        <f t="shared" si="211"/>
        <v>0</v>
      </c>
      <c r="NZ13" s="16">
        <f t="shared" si="212"/>
        <v>0</v>
      </c>
      <c r="OA13" s="59">
        <f t="shared" si="131"/>
        <v>37517.31</v>
      </c>
      <c r="OB13" s="131">
        <v>38500</v>
      </c>
      <c r="OC13" s="133">
        <v>0.5</v>
      </c>
      <c r="OD13" s="15"/>
      <c r="OE13" s="15"/>
      <c r="OF13" s="15"/>
      <c r="OG13" s="15"/>
      <c r="OH13" s="15"/>
      <c r="OI13" s="61">
        <f t="shared" si="163"/>
        <v>0.5</v>
      </c>
      <c r="OJ13" s="66">
        <f t="shared" si="132"/>
        <v>0</v>
      </c>
      <c r="OK13" s="12">
        <f t="shared" si="133"/>
        <v>0</v>
      </c>
      <c r="OL13" s="12">
        <f t="shared" si="134"/>
        <v>0</v>
      </c>
      <c r="OM13" s="12">
        <f t="shared" si="135"/>
        <v>0</v>
      </c>
      <c r="ON13" s="16">
        <f t="shared" si="136"/>
        <v>0</v>
      </c>
      <c r="OO13" s="59">
        <f t="shared" si="137"/>
        <v>38500</v>
      </c>
      <c r="OP13" s="131">
        <v>38500</v>
      </c>
      <c r="OQ13" s="133">
        <v>0.5</v>
      </c>
      <c r="OR13" s="15"/>
      <c r="OS13" s="15"/>
      <c r="OT13" s="15"/>
      <c r="OU13" s="15"/>
      <c r="OV13" s="15"/>
      <c r="OW13" s="61">
        <f t="shared" si="138"/>
        <v>0.5</v>
      </c>
      <c r="OX13" s="66">
        <f t="shared" si="139"/>
        <v>0</v>
      </c>
      <c r="OY13" s="12">
        <f t="shared" si="140"/>
        <v>0</v>
      </c>
      <c r="OZ13" s="12">
        <f t="shared" si="141"/>
        <v>0</v>
      </c>
      <c r="PA13" s="12">
        <f t="shared" si="142"/>
        <v>0</v>
      </c>
      <c r="PB13" s="16">
        <f t="shared" si="143"/>
        <v>0</v>
      </c>
      <c r="PC13" s="59">
        <f t="shared" si="144"/>
        <v>38500</v>
      </c>
      <c r="PD13" s="131">
        <v>38500</v>
      </c>
      <c r="PE13" s="133">
        <v>0.5</v>
      </c>
      <c r="PF13" s="15"/>
      <c r="PG13" s="15"/>
      <c r="PH13" s="15"/>
      <c r="PI13" s="15"/>
      <c r="PJ13" s="15"/>
      <c r="PK13" s="61">
        <f t="shared" si="145"/>
        <v>0.5</v>
      </c>
      <c r="PL13" s="66">
        <f t="shared" si="174"/>
        <v>0</v>
      </c>
      <c r="PM13" s="12">
        <f t="shared" si="175"/>
        <v>0</v>
      </c>
      <c r="PN13" s="12">
        <f t="shared" si="176"/>
        <v>0</v>
      </c>
      <c r="PO13" s="12">
        <f t="shared" si="177"/>
        <v>0</v>
      </c>
      <c r="PP13" s="16">
        <f t="shared" si="178"/>
        <v>0</v>
      </c>
      <c r="PQ13" s="59">
        <f t="shared" si="150"/>
        <v>38500</v>
      </c>
      <c r="PS13" s="884">
        <f t="shared" si="151"/>
        <v>0</v>
      </c>
    </row>
    <row r="14" spans="2:435" x14ac:dyDescent="0.2">
      <c r="B14" s="24">
        <v>9</v>
      </c>
      <c r="C14" s="872" t="s">
        <v>286</v>
      </c>
      <c r="D14" s="26"/>
      <c r="E14" s="42"/>
      <c r="F14" s="31"/>
      <c r="G14" s="12"/>
      <c r="H14" s="12"/>
      <c r="I14" s="12"/>
      <c r="J14" s="12"/>
      <c r="K14" s="12"/>
      <c r="L14" s="15"/>
      <c r="M14" s="61"/>
      <c r="N14" s="31"/>
      <c r="O14" s="12"/>
      <c r="P14" s="12"/>
      <c r="Q14" s="12"/>
      <c r="R14" s="12"/>
      <c r="S14" s="12"/>
      <c r="T14" s="15"/>
      <c r="U14" s="59"/>
      <c r="V14" s="26"/>
      <c r="W14" s="42"/>
      <c r="X14" s="31"/>
      <c r="Y14" s="12"/>
      <c r="Z14" s="12"/>
      <c r="AA14" s="12"/>
      <c r="AB14" s="12"/>
      <c r="AC14" s="12"/>
      <c r="AD14" s="15"/>
      <c r="AE14" s="15"/>
      <c r="AF14" s="61"/>
      <c r="AG14" s="35"/>
      <c r="AH14" s="35"/>
      <c r="AI14" s="35"/>
      <c r="AJ14" s="35"/>
      <c r="AK14" s="35"/>
      <c r="AL14" s="35"/>
      <c r="AM14" s="35"/>
      <c r="AN14" s="35"/>
      <c r="AO14" s="62"/>
      <c r="AP14" s="26"/>
      <c r="AQ14" s="42"/>
      <c r="AR14" s="12"/>
      <c r="AS14" s="12"/>
      <c r="AT14" s="12"/>
      <c r="AU14" s="12"/>
      <c r="AV14" s="15"/>
      <c r="AW14" s="15"/>
      <c r="AX14" s="61"/>
      <c r="AY14" s="35"/>
      <c r="AZ14" s="35"/>
      <c r="BA14" s="35"/>
      <c r="BB14" s="35"/>
      <c r="BC14" s="35"/>
      <c r="BD14" s="34"/>
      <c r="BE14" s="59"/>
      <c r="BF14" s="26"/>
      <c r="BG14" s="42"/>
      <c r="BH14" s="12"/>
      <c r="BI14" s="12"/>
      <c r="BJ14" s="12"/>
      <c r="BK14" s="12"/>
      <c r="BL14" s="15"/>
      <c r="BM14" s="15"/>
      <c r="BN14" s="15"/>
      <c r="BO14" s="61"/>
      <c r="BP14" s="65"/>
      <c r="BQ14" s="33"/>
      <c r="BR14" s="33"/>
      <c r="BS14" s="33"/>
      <c r="BT14" s="33"/>
      <c r="BU14" s="33"/>
      <c r="BV14" s="34"/>
      <c r="BW14" s="59"/>
      <c r="BX14" s="27"/>
      <c r="BY14" s="68"/>
      <c r="BZ14" s="31"/>
      <c r="CA14" s="12"/>
      <c r="CB14" s="12"/>
      <c r="CC14" s="12"/>
      <c r="CD14" s="15"/>
      <c r="CE14" s="15"/>
      <c r="CF14" s="15"/>
      <c r="CG14" s="61"/>
      <c r="CH14" s="66"/>
      <c r="CI14" s="12"/>
      <c r="CJ14" s="12"/>
      <c r="CK14" s="12"/>
      <c r="CL14" s="12"/>
      <c r="CM14" s="12"/>
      <c r="CN14" s="16"/>
      <c r="CO14" s="59"/>
      <c r="CP14" s="27"/>
      <c r="CQ14" s="68"/>
      <c r="CR14" s="12"/>
      <c r="CS14" s="12"/>
      <c r="CT14" s="12"/>
      <c r="CU14" s="12"/>
      <c r="CV14" s="15"/>
      <c r="CW14" s="15"/>
      <c r="CX14" s="15"/>
      <c r="CY14" s="61"/>
      <c r="CZ14" s="66"/>
      <c r="DA14" s="12"/>
      <c r="DB14" s="12"/>
      <c r="DC14" s="12"/>
      <c r="DD14" s="12"/>
      <c r="DE14" s="12"/>
      <c r="DF14" s="16"/>
      <c r="DG14" s="59"/>
      <c r="DH14" s="27"/>
      <c r="DI14" s="68"/>
      <c r="DJ14" s="12"/>
      <c r="DK14" s="12"/>
      <c r="DL14" s="12"/>
      <c r="DM14" s="12"/>
      <c r="DN14" s="15"/>
      <c r="DO14" s="15"/>
      <c r="DP14" s="15"/>
      <c r="DQ14" s="61"/>
      <c r="DR14" s="66"/>
      <c r="DS14" s="12"/>
      <c r="DT14" s="12"/>
      <c r="DU14" s="12"/>
      <c r="DV14" s="12"/>
      <c r="DW14" s="12"/>
      <c r="DX14" s="16"/>
      <c r="DY14" s="59"/>
      <c r="DZ14" s="27"/>
      <c r="EA14" s="68"/>
      <c r="EB14" s="12"/>
      <c r="EC14" s="12"/>
      <c r="ED14" s="12"/>
      <c r="EE14" s="15"/>
      <c r="EF14" s="15"/>
      <c r="EG14" s="15"/>
      <c r="EH14" s="61"/>
      <c r="EI14" s="66"/>
      <c r="EJ14" s="12"/>
      <c r="EK14" s="12"/>
      <c r="EL14" s="12"/>
      <c r="EM14" s="12"/>
      <c r="EN14" s="16"/>
      <c r="EO14" s="59"/>
      <c r="EP14" s="27"/>
      <c r="EQ14" s="68"/>
      <c r="ER14" s="12"/>
      <c r="ES14" s="12"/>
      <c r="ET14" s="15"/>
      <c r="EU14" s="15"/>
      <c r="EV14" s="61"/>
      <c r="EW14" s="66"/>
      <c r="EX14" s="12"/>
      <c r="EY14" s="12"/>
      <c r="EZ14" s="16"/>
      <c r="FA14" s="59"/>
      <c r="FB14" s="27"/>
      <c r="FC14" s="68"/>
      <c r="FD14" s="12"/>
      <c r="FE14" s="15"/>
      <c r="FF14" s="15"/>
      <c r="FG14" s="61"/>
      <c r="FH14" s="66"/>
      <c r="FI14" s="12"/>
      <c r="FJ14" s="16"/>
      <c r="FK14" s="59"/>
      <c r="FL14" s="27"/>
      <c r="FM14" s="68"/>
      <c r="FN14" s="12"/>
      <c r="FO14" s="15"/>
      <c r="FP14" s="15"/>
      <c r="FQ14" s="15"/>
      <c r="FR14" s="15"/>
      <c r="FS14" s="61"/>
      <c r="FT14" s="66"/>
      <c r="FU14" s="12"/>
      <c r="FV14" s="12"/>
      <c r="FW14" s="12"/>
      <c r="FX14" s="16"/>
      <c r="FY14" s="59"/>
      <c r="FZ14" s="27"/>
      <c r="GA14" s="68"/>
      <c r="GB14" s="12"/>
      <c r="GC14" s="15"/>
      <c r="GD14" s="15"/>
      <c r="GE14" s="15"/>
      <c r="GF14" s="61"/>
      <c r="GG14" s="66"/>
      <c r="GH14" s="66"/>
      <c r="GI14" s="12"/>
      <c r="GJ14" s="12"/>
      <c r="GK14" s="31"/>
      <c r="GL14" s="123"/>
      <c r="GM14" s="410"/>
      <c r="GN14" s="414"/>
      <c r="GO14" s="68"/>
      <c r="GP14" s="12"/>
      <c r="GQ14" s="15"/>
      <c r="GR14" s="15"/>
      <c r="GS14" s="15"/>
      <c r="GT14" s="15"/>
      <c r="GU14" s="61"/>
      <c r="GV14" s="66"/>
      <c r="GW14" s="12"/>
      <c r="GX14" s="12"/>
      <c r="GY14" s="12"/>
      <c r="GZ14" s="16"/>
      <c r="HA14" s="59"/>
      <c r="HB14" s="27"/>
      <c r="HC14" s="68"/>
      <c r="HD14" s="12"/>
      <c r="HE14" s="15"/>
      <c r="HF14" s="15"/>
      <c r="HG14" s="15"/>
      <c r="HH14" s="15"/>
      <c r="HI14" s="15"/>
      <c r="HJ14" s="15"/>
      <c r="HK14" s="15"/>
      <c r="HL14" s="61"/>
      <c r="HM14" s="66"/>
      <c r="HN14" s="12"/>
      <c r="HO14" s="12"/>
      <c r="HP14" s="12"/>
      <c r="HQ14" s="12"/>
      <c r="HR14" s="12"/>
      <c r="HS14" s="12"/>
      <c r="HT14" s="16"/>
      <c r="HU14" s="59"/>
      <c r="HV14" s="27"/>
      <c r="HW14" s="68"/>
      <c r="HX14" s="12"/>
      <c r="HY14" s="15"/>
      <c r="HZ14" s="61"/>
      <c r="IA14" s="66"/>
      <c r="IB14" s="16"/>
      <c r="IC14" s="59"/>
      <c r="ID14" s="129"/>
      <c r="IE14" s="68"/>
      <c r="IF14" s="12"/>
      <c r="IG14" s="15"/>
      <c r="IH14" s="15"/>
      <c r="II14" s="15"/>
      <c r="IJ14" s="15"/>
      <c r="IK14" s="15"/>
      <c r="IL14" s="15"/>
      <c r="IM14" s="15"/>
      <c r="IN14" s="15"/>
      <c r="IO14" s="61"/>
      <c r="IP14" s="66"/>
      <c r="IQ14" s="12"/>
      <c r="IR14" s="12"/>
      <c r="IS14" s="12"/>
      <c r="IT14" s="12"/>
      <c r="IU14" s="12"/>
      <c r="IV14" s="12"/>
      <c r="IW14" s="15"/>
      <c r="IX14" s="16"/>
      <c r="IY14" s="59"/>
      <c r="IZ14" s="129"/>
      <c r="JA14" s="68"/>
      <c r="JB14" s="12"/>
      <c r="JC14" s="15"/>
      <c r="JD14" s="15"/>
      <c r="JE14" s="15"/>
      <c r="JF14" s="15"/>
      <c r="JG14" s="15"/>
      <c r="JH14" s="15"/>
      <c r="JI14" s="15"/>
      <c r="JJ14" s="15"/>
      <c r="JK14" s="61"/>
      <c r="JL14" s="66"/>
      <c r="JM14" s="12"/>
      <c r="JN14" s="12"/>
      <c r="JO14" s="12"/>
      <c r="JP14" s="12"/>
      <c r="JQ14" s="12"/>
      <c r="JR14" s="12"/>
      <c r="JS14" s="12"/>
      <c r="JT14" s="16"/>
      <c r="JU14" s="59"/>
      <c r="JV14" s="129"/>
      <c r="JW14" s="68"/>
      <c r="JX14" s="12"/>
      <c r="JY14" s="12"/>
      <c r="JZ14" s="15"/>
      <c r="KA14" s="15"/>
      <c r="KB14" s="15"/>
      <c r="KC14" s="15"/>
      <c r="KD14" s="15"/>
      <c r="KE14" s="15"/>
      <c r="KF14" s="15"/>
      <c r="KG14" s="61"/>
      <c r="KH14" s="146"/>
      <c r="KI14" s="12"/>
      <c r="KJ14" s="12"/>
      <c r="KK14" s="12"/>
      <c r="KL14" s="12"/>
      <c r="KM14" s="12"/>
      <c r="KN14" s="12"/>
      <c r="KO14" s="12"/>
      <c r="KP14" s="16"/>
      <c r="KQ14" s="59"/>
      <c r="KR14" s="129"/>
      <c r="KS14" s="68"/>
      <c r="KT14" s="12"/>
      <c r="KU14" s="15"/>
      <c r="KV14" s="15"/>
      <c r="KW14" s="15"/>
      <c r="KX14" s="15"/>
      <c r="KY14" s="15"/>
      <c r="KZ14" s="15"/>
      <c r="LA14" s="15"/>
      <c r="LB14" s="61"/>
      <c r="LC14" s="66"/>
      <c r="LD14" s="12"/>
      <c r="LE14" s="12"/>
      <c r="LF14" s="12"/>
      <c r="LG14" s="12"/>
      <c r="LH14" s="12"/>
      <c r="LI14" s="12"/>
      <c r="LJ14" s="16"/>
      <c r="LK14" s="59"/>
      <c r="LL14" s="129"/>
      <c r="LM14" s="68"/>
      <c r="LN14" s="15"/>
      <c r="LO14" s="15"/>
      <c r="LP14" s="15"/>
      <c r="LQ14" s="15"/>
      <c r="LR14" s="15"/>
      <c r="LS14" s="15"/>
      <c r="LT14" s="15"/>
      <c r="LU14" s="61"/>
      <c r="LV14" s="66"/>
      <c r="LW14" s="12"/>
      <c r="LX14" s="12"/>
      <c r="LY14" s="12"/>
      <c r="LZ14" s="12"/>
      <c r="MA14" s="12"/>
      <c r="MB14" s="16"/>
      <c r="MC14" s="59"/>
      <c r="MD14" s="129"/>
      <c r="ME14" s="68"/>
      <c r="MF14" s="15"/>
      <c r="MG14" s="15"/>
      <c r="MH14" s="15"/>
      <c r="MI14" s="15"/>
      <c r="MJ14" s="15"/>
      <c r="MK14" s="15"/>
      <c r="ML14" s="15"/>
      <c r="MM14" s="61">
        <f t="shared" si="111"/>
        <v>0</v>
      </c>
      <c r="MN14" s="66"/>
      <c r="MO14" s="12"/>
      <c r="MP14" s="12"/>
      <c r="MQ14" s="12"/>
      <c r="MR14" s="12"/>
      <c r="MS14" s="12"/>
      <c r="MT14" s="16"/>
      <c r="MU14" s="59"/>
      <c r="MV14" s="617">
        <v>22500</v>
      </c>
      <c r="MW14" s="619">
        <v>0.5</v>
      </c>
      <c r="MX14" s="15"/>
      <c r="MY14" s="15"/>
      <c r="MZ14" s="15"/>
      <c r="NA14" s="15"/>
      <c r="NB14" s="15"/>
      <c r="NC14" s="15"/>
      <c r="ND14" s="15"/>
      <c r="NE14" s="61">
        <f t="shared" si="118"/>
        <v>0.5</v>
      </c>
      <c r="NF14" s="66">
        <f t="shared" si="119"/>
        <v>0</v>
      </c>
      <c r="NG14" s="12">
        <f t="shared" si="120"/>
        <v>0</v>
      </c>
      <c r="NH14" s="12">
        <f t="shared" si="121"/>
        <v>0</v>
      </c>
      <c r="NI14" s="12">
        <f t="shared" si="122"/>
        <v>0</v>
      </c>
      <c r="NJ14" s="12">
        <f t="shared" si="123"/>
        <v>0</v>
      </c>
      <c r="NK14" s="12">
        <f t="shared" si="123"/>
        <v>0</v>
      </c>
      <c r="NL14" s="16">
        <f t="shared" si="124"/>
        <v>0</v>
      </c>
      <c r="NM14" s="59">
        <f t="shared" si="125"/>
        <v>22500</v>
      </c>
      <c r="NN14" s="617">
        <v>22500</v>
      </c>
      <c r="NO14" s="619">
        <v>0.5</v>
      </c>
      <c r="NP14" s="15"/>
      <c r="NQ14" s="15">
        <v>0.5</v>
      </c>
      <c r="NR14" s="15"/>
      <c r="NS14" s="15"/>
      <c r="NT14" s="15"/>
      <c r="NU14" s="61">
        <f t="shared" si="126"/>
        <v>0</v>
      </c>
      <c r="NV14" s="66">
        <f t="shared" si="190"/>
        <v>0</v>
      </c>
      <c r="NW14" s="12">
        <f t="shared" si="209"/>
        <v>22500</v>
      </c>
      <c r="NX14" s="12">
        <f t="shared" si="210"/>
        <v>0</v>
      </c>
      <c r="NY14" s="12">
        <f t="shared" si="211"/>
        <v>0</v>
      </c>
      <c r="NZ14" s="16">
        <f t="shared" si="212"/>
        <v>0</v>
      </c>
      <c r="OA14" s="59">
        <f t="shared" si="131"/>
        <v>0</v>
      </c>
      <c r="OB14" s="131">
        <v>22500</v>
      </c>
      <c r="OC14" s="133">
        <v>0.5</v>
      </c>
      <c r="OD14" s="15"/>
      <c r="OE14" s="15">
        <v>0.45</v>
      </c>
      <c r="OF14" s="15"/>
      <c r="OG14" s="15"/>
      <c r="OH14" s="15"/>
      <c r="OI14" s="61">
        <f t="shared" si="163"/>
        <v>0.05</v>
      </c>
      <c r="OJ14" s="66">
        <f t="shared" si="132"/>
        <v>0</v>
      </c>
      <c r="OK14" s="12">
        <f t="shared" si="133"/>
        <v>20250</v>
      </c>
      <c r="OL14" s="12">
        <f t="shared" si="134"/>
        <v>0</v>
      </c>
      <c r="OM14" s="12">
        <f t="shared" si="135"/>
        <v>0</v>
      </c>
      <c r="ON14" s="16">
        <f t="shared" si="136"/>
        <v>0</v>
      </c>
      <c r="OO14" s="59">
        <f t="shared" si="137"/>
        <v>2250</v>
      </c>
      <c r="OP14" s="131">
        <v>22500</v>
      </c>
      <c r="OQ14" s="133">
        <v>0.5</v>
      </c>
      <c r="OR14" s="15"/>
      <c r="OS14" s="15">
        <v>0.25</v>
      </c>
      <c r="OT14" s="15"/>
      <c r="OU14" s="15"/>
      <c r="OV14" s="15"/>
      <c r="OW14" s="61">
        <f t="shared" si="138"/>
        <v>0.25</v>
      </c>
      <c r="OX14" s="66">
        <f t="shared" si="139"/>
        <v>0</v>
      </c>
      <c r="OY14" s="12">
        <f t="shared" si="140"/>
        <v>11250</v>
      </c>
      <c r="OZ14" s="12">
        <f t="shared" si="141"/>
        <v>0</v>
      </c>
      <c r="PA14" s="12">
        <f t="shared" si="142"/>
        <v>0</v>
      </c>
      <c r="PB14" s="16">
        <f t="shared" si="143"/>
        <v>0</v>
      </c>
      <c r="PC14" s="59">
        <f t="shared" si="144"/>
        <v>11250</v>
      </c>
      <c r="PD14" s="131">
        <v>22500</v>
      </c>
      <c r="PE14" s="133">
        <v>0.5</v>
      </c>
      <c r="PF14" s="15"/>
      <c r="PG14" s="15"/>
      <c r="PH14" s="15"/>
      <c r="PI14" s="15"/>
      <c r="PJ14" s="15"/>
      <c r="PK14" s="61">
        <f t="shared" si="145"/>
        <v>0.5</v>
      </c>
      <c r="PL14" s="66">
        <f t="shared" si="174"/>
        <v>0</v>
      </c>
      <c r="PM14" s="12">
        <f t="shared" si="175"/>
        <v>0</v>
      </c>
      <c r="PN14" s="12">
        <f t="shared" si="176"/>
        <v>0</v>
      </c>
      <c r="PO14" s="12">
        <f t="shared" si="177"/>
        <v>0</v>
      </c>
      <c r="PP14" s="16">
        <f t="shared" si="178"/>
        <v>0</v>
      </c>
      <c r="PQ14" s="59">
        <f t="shared" si="150"/>
        <v>22500</v>
      </c>
      <c r="PS14" s="884">
        <f t="shared" si="151"/>
        <v>0</v>
      </c>
    </row>
    <row r="15" spans="2:435" x14ac:dyDescent="0.2">
      <c r="B15" s="24">
        <v>10</v>
      </c>
      <c r="C15" s="25" t="s">
        <v>287</v>
      </c>
      <c r="D15" s="26"/>
      <c r="E15" s="42"/>
      <c r="F15" s="31"/>
      <c r="G15" s="12"/>
      <c r="H15" s="12"/>
      <c r="I15" s="12"/>
      <c r="J15" s="12"/>
      <c r="K15" s="12"/>
      <c r="L15" s="15"/>
      <c r="M15" s="61"/>
      <c r="N15" s="31"/>
      <c r="O15" s="12"/>
      <c r="P15" s="12"/>
      <c r="Q15" s="12"/>
      <c r="R15" s="12"/>
      <c r="S15" s="12"/>
      <c r="T15" s="15"/>
      <c r="U15" s="59"/>
      <c r="V15" s="26"/>
      <c r="W15" s="42"/>
      <c r="X15" s="31"/>
      <c r="Y15" s="12"/>
      <c r="Z15" s="12"/>
      <c r="AA15" s="12"/>
      <c r="AB15" s="12"/>
      <c r="AC15" s="12"/>
      <c r="AD15" s="15"/>
      <c r="AE15" s="15"/>
      <c r="AF15" s="61"/>
      <c r="AG15" s="35"/>
      <c r="AH15" s="35"/>
      <c r="AI15" s="35"/>
      <c r="AJ15" s="35"/>
      <c r="AK15" s="35"/>
      <c r="AL15" s="35"/>
      <c r="AM15" s="35"/>
      <c r="AN15" s="35"/>
      <c r="AO15" s="62"/>
      <c r="AP15" s="26"/>
      <c r="AQ15" s="42"/>
      <c r="AR15" s="12"/>
      <c r="AS15" s="12"/>
      <c r="AT15" s="12"/>
      <c r="AU15" s="12"/>
      <c r="AV15" s="15"/>
      <c r="AW15" s="15"/>
      <c r="AX15" s="61"/>
      <c r="AY15" s="35"/>
      <c r="AZ15" s="35"/>
      <c r="BA15" s="35"/>
      <c r="BB15" s="35"/>
      <c r="BC15" s="35"/>
      <c r="BD15" s="34"/>
      <c r="BE15" s="59"/>
      <c r="BF15" s="26"/>
      <c r="BG15" s="42"/>
      <c r="BH15" s="12"/>
      <c r="BI15" s="12"/>
      <c r="BJ15" s="12"/>
      <c r="BK15" s="12"/>
      <c r="BL15" s="15"/>
      <c r="BM15" s="15"/>
      <c r="BN15" s="15"/>
      <c r="BO15" s="61"/>
      <c r="BP15" s="65"/>
      <c r="BQ15" s="33"/>
      <c r="BR15" s="33"/>
      <c r="BS15" s="33"/>
      <c r="BT15" s="33"/>
      <c r="BU15" s="33"/>
      <c r="BV15" s="34"/>
      <c r="BW15" s="59"/>
      <c r="BX15" s="27"/>
      <c r="BY15" s="68"/>
      <c r="BZ15" s="31"/>
      <c r="CA15" s="12"/>
      <c r="CB15" s="12"/>
      <c r="CC15" s="12"/>
      <c r="CD15" s="15"/>
      <c r="CE15" s="15"/>
      <c r="CF15" s="15"/>
      <c r="CG15" s="61"/>
      <c r="CH15" s="66"/>
      <c r="CI15" s="12"/>
      <c r="CJ15" s="12"/>
      <c r="CK15" s="12"/>
      <c r="CL15" s="12"/>
      <c r="CM15" s="12"/>
      <c r="CN15" s="16"/>
      <c r="CO15" s="59"/>
      <c r="CP15" s="27"/>
      <c r="CQ15" s="68"/>
      <c r="CR15" s="12"/>
      <c r="CS15" s="12"/>
      <c r="CT15" s="12"/>
      <c r="CU15" s="12"/>
      <c r="CV15" s="15"/>
      <c r="CW15" s="15"/>
      <c r="CX15" s="15"/>
      <c r="CY15" s="61"/>
      <c r="CZ15" s="66"/>
      <c r="DA15" s="12"/>
      <c r="DB15" s="12"/>
      <c r="DC15" s="12"/>
      <c r="DD15" s="12"/>
      <c r="DE15" s="12"/>
      <c r="DF15" s="16"/>
      <c r="DG15" s="59"/>
      <c r="DH15" s="27"/>
      <c r="DI15" s="68"/>
      <c r="DJ15" s="12"/>
      <c r="DK15" s="12"/>
      <c r="DL15" s="12"/>
      <c r="DM15" s="12"/>
      <c r="DN15" s="15"/>
      <c r="DO15" s="15"/>
      <c r="DP15" s="15"/>
      <c r="DQ15" s="61"/>
      <c r="DR15" s="66"/>
      <c r="DS15" s="12"/>
      <c r="DT15" s="12"/>
      <c r="DU15" s="12"/>
      <c r="DV15" s="12"/>
      <c r="DW15" s="12"/>
      <c r="DX15" s="16"/>
      <c r="DY15" s="59"/>
      <c r="DZ15" s="27"/>
      <c r="EA15" s="68"/>
      <c r="EB15" s="12"/>
      <c r="EC15" s="12"/>
      <c r="ED15" s="12"/>
      <c r="EE15" s="15"/>
      <c r="EF15" s="15"/>
      <c r="EG15" s="15"/>
      <c r="EH15" s="61"/>
      <c r="EI15" s="66"/>
      <c r="EJ15" s="12"/>
      <c r="EK15" s="12"/>
      <c r="EL15" s="12"/>
      <c r="EM15" s="12"/>
      <c r="EN15" s="16"/>
      <c r="EO15" s="59"/>
      <c r="EP15" s="27"/>
      <c r="EQ15" s="68"/>
      <c r="ER15" s="12"/>
      <c r="ES15" s="12"/>
      <c r="ET15" s="15"/>
      <c r="EU15" s="15"/>
      <c r="EV15" s="61"/>
      <c r="EW15" s="66"/>
      <c r="EX15" s="12"/>
      <c r="EY15" s="12"/>
      <c r="EZ15" s="16"/>
      <c r="FA15" s="59"/>
      <c r="FB15" s="27"/>
      <c r="FC15" s="68"/>
      <c r="FD15" s="12"/>
      <c r="FE15" s="15"/>
      <c r="FF15" s="15"/>
      <c r="FG15" s="61"/>
      <c r="FH15" s="66"/>
      <c r="FI15" s="12"/>
      <c r="FJ15" s="16"/>
      <c r="FK15" s="59"/>
      <c r="FL15" s="27"/>
      <c r="FM15" s="68"/>
      <c r="FN15" s="12"/>
      <c r="FO15" s="15"/>
      <c r="FP15" s="15"/>
      <c r="FQ15" s="15"/>
      <c r="FR15" s="15"/>
      <c r="FS15" s="61"/>
      <c r="FT15" s="66"/>
      <c r="FU15" s="12"/>
      <c r="FV15" s="12"/>
      <c r="FW15" s="12"/>
      <c r="FX15" s="16"/>
      <c r="FY15" s="59"/>
      <c r="FZ15" s="27"/>
      <c r="GA15" s="68"/>
      <c r="GB15" s="12"/>
      <c r="GC15" s="15"/>
      <c r="GD15" s="15"/>
      <c r="GE15" s="15"/>
      <c r="GF15" s="61"/>
      <c r="GG15" s="66"/>
      <c r="GH15" s="66"/>
      <c r="GI15" s="12"/>
      <c r="GJ15" s="12"/>
      <c r="GK15" s="31"/>
      <c r="GL15" s="123"/>
      <c r="GM15" s="410"/>
      <c r="GN15" s="414"/>
      <c r="GO15" s="68"/>
      <c r="GP15" s="12"/>
      <c r="GQ15" s="15"/>
      <c r="GR15" s="15"/>
      <c r="GS15" s="15"/>
      <c r="GT15" s="15"/>
      <c r="GU15" s="61"/>
      <c r="GV15" s="66"/>
      <c r="GW15" s="12"/>
      <c r="GX15" s="12"/>
      <c r="GY15" s="12"/>
      <c r="GZ15" s="16"/>
      <c r="HA15" s="59"/>
      <c r="HB15" s="27"/>
      <c r="HC15" s="68"/>
      <c r="HD15" s="12"/>
      <c r="HE15" s="15"/>
      <c r="HF15" s="15"/>
      <c r="HG15" s="15"/>
      <c r="HH15" s="15"/>
      <c r="HI15" s="15"/>
      <c r="HJ15" s="15"/>
      <c r="HK15" s="15"/>
      <c r="HL15" s="61"/>
      <c r="HM15" s="66"/>
      <c r="HN15" s="12"/>
      <c r="HO15" s="12"/>
      <c r="HP15" s="12"/>
      <c r="HQ15" s="12"/>
      <c r="HR15" s="12"/>
      <c r="HS15" s="12"/>
      <c r="HT15" s="16"/>
      <c r="HU15" s="59"/>
      <c r="HV15" s="27"/>
      <c r="HW15" s="68"/>
      <c r="HX15" s="12"/>
      <c r="HY15" s="15"/>
      <c r="HZ15" s="61"/>
      <c r="IA15" s="66"/>
      <c r="IB15" s="16"/>
      <c r="IC15" s="59"/>
      <c r="ID15" s="129"/>
      <c r="IE15" s="68"/>
      <c r="IF15" s="12"/>
      <c r="IG15" s="15"/>
      <c r="IH15" s="15"/>
      <c r="II15" s="15"/>
      <c r="IJ15" s="15"/>
      <c r="IK15" s="15"/>
      <c r="IL15" s="15"/>
      <c r="IM15" s="15"/>
      <c r="IN15" s="15"/>
      <c r="IO15" s="61"/>
      <c r="IP15" s="66"/>
      <c r="IQ15" s="12"/>
      <c r="IR15" s="12"/>
      <c r="IS15" s="12"/>
      <c r="IT15" s="12"/>
      <c r="IU15" s="12"/>
      <c r="IV15" s="12"/>
      <c r="IW15" s="15"/>
      <c r="IX15" s="16"/>
      <c r="IY15" s="59"/>
      <c r="IZ15" s="129"/>
      <c r="JA15" s="68"/>
      <c r="JB15" s="12"/>
      <c r="JC15" s="15"/>
      <c r="JD15" s="15"/>
      <c r="JE15" s="15"/>
      <c r="JF15" s="15"/>
      <c r="JG15" s="15"/>
      <c r="JH15" s="15"/>
      <c r="JI15" s="15"/>
      <c r="JJ15" s="15"/>
      <c r="JK15" s="61"/>
      <c r="JL15" s="66"/>
      <c r="JM15" s="12"/>
      <c r="JN15" s="12"/>
      <c r="JO15" s="12"/>
      <c r="JP15" s="12"/>
      <c r="JQ15" s="12"/>
      <c r="JR15" s="12"/>
      <c r="JS15" s="12"/>
      <c r="JT15" s="16"/>
      <c r="JU15" s="59"/>
      <c r="JV15" s="129"/>
      <c r="JW15" s="68"/>
      <c r="JX15" s="12"/>
      <c r="JY15" s="12"/>
      <c r="JZ15" s="15"/>
      <c r="KA15" s="15"/>
      <c r="KB15" s="15"/>
      <c r="KC15" s="15"/>
      <c r="KD15" s="15"/>
      <c r="KE15" s="15"/>
      <c r="KF15" s="15"/>
      <c r="KG15" s="61"/>
      <c r="KH15" s="146"/>
      <c r="KI15" s="12"/>
      <c r="KJ15" s="12"/>
      <c r="KK15" s="12"/>
      <c r="KL15" s="12"/>
      <c r="KM15" s="12"/>
      <c r="KN15" s="12"/>
      <c r="KO15" s="12"/>
      <c r="KP15" s="16"/>
      <c r="KQ15" s="59"/>
      <c r="KR15" s="129"/>
      <c r="KS15" s="68"/>
      <c r="KT15" s="12"/>
      <c r="KU15" s="15"/>
      <c r="KV15" s="15"/>
      <c r="KW15" s="15"/>
      <c r="KX15" s="15"/>
      <c r="KY15" s="15"/>
      <c r="KZ15" s="15"/>
      <c r="LA15" s="15"/>
      <c r="LB15" s="61"/>
      <c r="LC15" s="66"/>
      <c r="LD15" s="12"/>
      <c r="LE15" s="12"/>
      <c r="LF15" s="12"/>
      <c r="LG15" s="12"/>
      <c r="LH15" s="12"/>
      <c r="LI15" s="12"/>
      <c r="LJ15" s="16"/>
      <c r="LK15" s="59"/>
      <c r="LL15" s="129"/>
      <c r="LM15" s="68"/>
      <c r="LN15" s="15"/>
      <c r="LO15" s="15"/>
      <c r="LP15" s="15"/>
      <c r="LQ15" s="15"/>
      <c r="LR15" s="15"/>
      <c r="LS15" s="15"/>
      <c r="LT15" s="15"/>
      <c r="LU15" s="61"/>
      <c r="LV15" s="66"/>
      <c r="LW15" s="12"/>
      <c r="LX15" s="12"/>
      <c r="LY15" s="12"/>
      <c r="LZ15" s="12"/>
      <c r="MA15" s="12"/>
      <c r="MB15" s="16"/>
      <c r="MC15" s="59"/>
      <c r="MD15" s="129"/>
      <c r="ME15" s="68"/>
      <c r="MF15" s="15"/>
      <c r="MG15" s="15"/>
      <c r="MH15" s="15"/>
      <c r="MI15" s="15"/>
      <c r="MJ15" s="15"/>
      <c r="MK15" s="15"/>
      <c r="ML15" s="15"/>
      <c r="MM15" s="61">
        <f t="shared" si="111"/>
        <v>0</v>
      </c>
      <c r="MN15" s="66"/>
      <c r="MO15" s="12"/>
      <c r="MP15" s="12"/>
      <c r="MQ15" s="12"/>
      <c r="MR15" s="12"/>
      <c r="MS15" s="12"/>
      <c r="MT15" s="16"/>
      <c r="MU15" s="59"/>
      <c r="MV15" s="617">
        <v>50000</v>
      </c>
      <c r="MW15" s="619">
        <v>1</v>
      </c>
      <c r="MX15" s="15"/>
      <c r="MY15" s="15"/>
      <c r="MZ15" s="15"/>
      <c r="NA15" s="15"/>
      <c r="NB15" s="15"/>
      <c r="NC15" s="15"/>
      <c r="ND15" s="15"/>
      <c r="NE15" s="61">
        <f t="shared" si="118"/>
        <v>1</v>
      </c>
      <c r="NF15" s="66">
        <f>IF($MW15&lt;&gt;0,MX15*$MV15/$MW15,0)</f>
        <v>0</v>
      </c>
      <c r="NG15" s="12">
        <f>IF($MW15&lt;&gt;0,MY15*$MV15/$MW15,0)</f>
        <v>0</v>
      </c>
      <c r="NH15" s="12"/>
      <c r="NI15" s="12"/>
      <c r="NJ15" s="12">
        <f>IF($MW15&lt;&gt;0,NB15*$MV15/$MW15,0)</f>
        <v>0</v>
      </c>
      <c r="NK15" s="12">
        <f>IF($MW15&lt;&gt;0,NC15*$MV15/$MW15,0)</f>
        <v>0</v>
      </c>
      <c r="NL15" s="16">
        <f>IF($MW15&lt;&gt;0,ND15*$MV15/$MW15,0)</f>
        <v>0</v>
      </c>
      <c r="NM15" s="59">
        <f t="shared" si="125"/>
        <v>50000</v>
      </c>
      <c r="NN15" s="617">
        <v>50000</v>
      </c>
      <c r="NO15" s="619">
        <v>1</v>
      </c>
      <c r="NP15" s="15"/>
      <c r="NQ15" s="15"/>
      <c r="NR15" s="15"/>
      <c r="NS15" s="15"/>
      <c r="NT15" s="15"/>
      <c r="NU15" s="61">
        <f t="shared" si="126"/>
        <v>1</v>
      </c>
      <c r="NV15" s="66">
        <f t="shared" si="190"/>
        <v>0</v>
      </c>
      <c r="NW15" s="12">
        <f t="shared" si="209"/>
        <v>0</v>
      </c>
      <c r="NX15" s="12">
        <f t="shared" si="210"/>
        <v>0</v>
      </c>
      <c r="NY15" s="12">
        <f t="shared" si="211"/>
        <v>0</v>
      </c>
      <c r="NZ15" s="16">
        <f t="shared" si="212"/>
        <v>0</v>
      </c>
      <c r="OA15" s="59">
        <f t="shared" si="131"/>
        <v>50000</v>
      </c>
      <c r="OB15" s="131">
        <v>50000</v>
      </c>
      <c r="OC15" s="133">
        <v>1</v>
      </c>
      <c r="OD15" s="15"/>
      <c r="OE15" s="15"/>
      <c r="OF15" s="15"/>
      <c r="OG15" s="15"/>
      <c r="OH15" s="15"/>
      <c r="OI15" s="61">
        <f t="shared" si="163"/>
        <v>1</v>
      </c>
      <c r="OJ15" s="66">
        <f t="shared" si="132"/>
        <v>0</v>
      </c>
      <c r="OK15" s="12">
        <f t="shared" si="133"/>
        <v>0</v>
      </c>
      <c r="OL15" s="12">
        <f t="shared" si="134"/>
        <v>0</v>
      </c>
      <c r="OM15" s="12">
        <f t="shared" si="135"/>
        <v>0</v>
      </c>
      <c r="ON15" s="16">
        <f t="shared" si="136"/>
        <v>0</v>
      </c>
      <c r="OO15" s="59">
        <f t="shared" si="137"/>
        <v>50000</v>
      </c>
      <c r="OP15" s="131">
        <v>50000</v>
      </c>
      <c r="OQ15" s="133">
        <v>1</v>
      </c>
      <c r="OR15" s="15"/>
      <c r="OS15" s="15"/>
      <c r="OT15" s="15"/>
      <c r="OU15" s="15"/>
      <c r="OV15" s="15"/>
      <c r="OW15" s="61">
        <f t="shared" si="138"/>
        <v>1</v>
      </c>
      <c r="OX15" s="66">
        <f t="shared" si="139"/>
        <v>0</v>
      </c>
      <c r="OY15" s="12">
        <f t="shared" si="140"/>
        <v>0</v>
      </c>
      <c r="OZ15" s="12">
        <f t="shared" si="141"/>
        <v>0</v>
      </c>
      <c r="PA15" s="12">
        <f t="shared" si="142"/>
        <v>0</v>
      </c>
      <c r="PB15" s="16">
        <f t="shared" si="143"/>
        <v>0</v>
      </c>
      <c r="PC15" s="59">
        <f t="shared" si="144"/>
        <v>50000</v>
      </c>
      <c r="PD15" s="131">
        <v>50000</v>
      </c>
      <c r="PE15" s="133">
        <v>1</v>
      </c>
      <c r="PF15" s="15"/>
      <c r="PG15" s="15"/>
      <c r="PH15" s="15"/>
      <c r="PI15" s="15"/>
      <c r="PJ15" s="15"/>
      <c r="PK15" s="61">
        <f t="shared" si="145"/>
        <v>1</v>
      </c>
      <c r="PL15" s="66">
        <f t="shared" si="174"/>
        <v>0</v>
      </c>
      <c r="PM15" s="12">
        <f t="shared" si="175"/>
        <v>0</v>
      </c>
      <c r="PN15" s="12">
        <f t="shared" si="176"/>
        <v>0</v>
      </c>
      <c r="PO15" s="12">
        <f t="shared" si="177"/>
        <v>0</v>
      </c>
      <c r="PP15" s="16">
        <f t="shared" si="178"/>
        <v>0</v>
      </c>
      <c r="PQ15" s="59">
        <f t="shared" si="150"/>
        <v>50000</v>
      </c>
      <c r="PS15" s="884">
        <f t="shared" si="151"/>
        <v>0</v>
      </c>
    </row>
    <row r="16" spans="2:435" x14ac:dyDescent="0.2">
      <c r="B16" s="24">
        <v>11</v>
      </c>
      <c r="C16" s="70" t="s">
        <v>41</v>
      </c>
      <c r="D16" s="26"/>
      <c r="E16" s="42"/>
      <c r="F16" s="31"/>
      <c r="G16" s="12"/>
      <c r="H16" s="12"/>
      <c r="I16" s="12"/>
      <c r="J16" s="12"/>
      <c r="K16" s="12"/>
      <c r="L16" s="15"/>
      <c r="M16" s="61">
        <f t="shared" si="41"/>
        <v>0</v>
      </c>
      <c r="N16" s="31">
        <f t="shared" si="0"/>
        <v>0</v>
      </c>
      <c r="O16" s="12">
        <f t="shared" si="0"/>
        <v>0</v>
      </c>
      <c r="P16" s="12">
        <f t="shared" si="0"/>
        <v>0</v>
      </c>
      <c r="Q16" s="12">
        <f t="shared" si="0"/>
        <v>0</v>
      </c>
      <c r="R16" s="12">
        <f t="shared" si="0"/>
        <v>0</v>
      </c>
      <c r="S16" s="12">
        <f t="shared" si="0"/>
        <v>0</v>
      </c>
      <c r="T16" s="15">
        <f t="shared" si="0"/>
        <v>0</v>
      </c>
      <c r="U16" s="59">
        <f t="shared" si="191"/>
        <v>0</v>
      </c>
      <c r="V16" s="26"/>
      <c r="W16" s="42"/>
      <c r="X16" s="31"/>
      <c r="Y16" s="12"/>
      <c r="Z16" s="12"/>
      <c r="AA16" s="12"/>
      <c r="AB16" s="12"/>
      <c r="AC16" s="12"/>
      <c r="AD16" s="15"/>
      <c r="AE16" s="15"/>
      <c r="AF16" s="61">
        <f t="shared" si="42"/>
        <v>0</v>
      </c>
      <c r="AG16" s="35">
        <f t="shared" si="43"/>
        <v>0</v>
      </c>
      <c r="AH16" s="35">
        <f t="shared" si="1"/>
        <v>0</v>
      </c>
      <c r="AI16" s="35">
        <f t="shared" si="1"/>
        <v>0</v>
      </c>
      <c r="AJ16" s="35">
        <f t="shared" si="1"/>
        <v>0</v>
      </c>
      <c r="AK16" s="35">
        <f t="shared" si="1"/>
        <v>0</v>
      </c>
      <c r="AL16" s="35">
        <f t="shared" si="1"/>
        <v>0</v>
      </c>
      <c r="AM16" s="35">
        <f t="shared" si="1"/>
        <v>0</v>
      </c>
      <c r="AN16" s="35">
        <f t="shared" si="1"/>
        <v>0</v>
      </c>
      <c r="AO16" s="62">
        <f t="shared" si="44"/>
        <v>0</v>
      </c>
      <c r="AP16" s="26"/>
      <c r="AQ16" s="42"/>
      <c r="AR16" s="12"/>
      <c r="AS16" s="12"/>
      <c r="AT16" s="12"/>
      <c r="AU16" s="12"/>
      <c r="AV16" s="15"/>
      <c r="AW16" s="15"/>
      <c r="AX16" s="61">
        <f t="shared" si="45"/>
        <v>0</v>
      </c>
      <c r="AY16" s="35">
        <f t="shared" si="2"/>
        <v>0</v>
      </c>
      <c r="AZ16" s="35">
        <f t="shared" si="2"/>
        <v>0</v>
      </c>
      <c r="BA16" s="35">
        <f t="shared" si="2"/>
        <v>0</v>
      </c>
      <c r="BB16" s="35">
        <f t="shared" si="2"/>
        <v>0</v>
      </c>
      <c r="BC16" s="35">
        <f t="shared" si="2"/>
        <v>0</v>
      </c>
      <c r="BD16" s="34">
        <f t="shared" si="2"/>
        <v>0</v>
      </c>
      <c r="BE16" s="59">
        <f t="shared" si="46"/>
        <v>0</v>
      </c>
      <c r="BF16" s="26">
        <v>22500</v>
      </c>
      <c r="BG16" s="42">
        <v>0.5</v>
      </c>
      <c r="BH16" s="12"/>
      <c r="BI16" s="12"/>
      <c r="BJ16" s="12"/>
      <c r="BK16" s="12"/>
      <c r="BL16" s="15">
        <v>0.5</v>
      </c>
      <c r="BM16" s="15"/>
      <c r="BN16" s="15"/>
      <c r="BO16" s="61">
        <f t="shared" si="3"/>
        <v>0</v>
      </c>
      <c r="BP16" s="65">
        <f t="shared" si="4"/>
        <v>0</v>
      </c>
      <c r="BQ16" s="33">
        <f t="shared" si="4"/>
        <v>0</v>
      </c>
      <c r="BR16" s="33">
        <f t="shared" si="4"/>
        <v>0</v>
      </c>
      <c r="BS16" s="33">
        <f t="shared" si="4"/>
        <v>0</v>
      </c>
      <c r="BT16" s="33">
        <f t="shared" si="4"/>
        <v>22500</v>
      </c>
      <c r="BU16" s="33">
        <f t="shared" si="4"/>
        <v>0</v>
      </c>
      <c r="BV16" s="34">
        <f t="shared" si="4"/>
        <v>0</v>
      </c>
      <c r="BW16" s="59">
        <f t="shared" si="192"/>
        <v>0</v>
      </c>
      <c r="BX16" s="69">
        <v>22500</v>
      </c>
      <c r="BY16" s="68">
        <v>0.5</v>
      </c>
      <c r="BZ16" s="31"/>
      <c r="CA16" s="12"/>
      <c r="CB16" s="12"/>
      <c r="CC16" s="12"/>
      <c r="CD16" s="15">
        <v>0.5</v>
      </c>
      <c r="CE16" s="15"/>
      <c r="CF16" s="15"/>
      <c r="CG16" s="61">
        <f t="shared" si="5"/>
        <v>0</v>
      </c>
      <c r="CH16" s="66">
        <f t="shared" si="47"/>
        <v>0</v>
      </c>
      <c r="CI16" s="12">
        <f t="shared" si="6"/>
        <v>0</v>
      </c>
      <c r="CJ16" s="12">
        <f t="shared" si="6"/>
        <v>0</v>
      </c>
      <c r="CK16" s="12">
        <f t="shared" si="6"/>
        <v>0</v>
      </c>
      <c r="CL16" s="12">
        <f t="shared" si="6"/>
        <v>22500</v>
      </c>
      <c r="CM16" s="12">
        <f t="shared" si="6"/>
        <v>0</v>
      </c>
      <c r="CN16" s="16">
        <f t="shared" si="6"/>
        <v>0</v>
      </c>
      <c r="CO16" s="59">
        <f t="shared" si="193"/>
        <v>0</v>
      </c>
      <c r="CP16" s="69">
        <v>22500</v>
      </c>
      <c r="CQ16" s="68">
        <v>0.5</v>
      </c>
      <c r="CR16" s="12"/>
      <c r="CS16" s="12"/>
      <c r="CT16" s="12"/>
      <c r="CU16" s="12"/>
      <c r="CV16" s="15">
        <v>0.5</v>
      </c>
      <c r="CW16" s="15"/>
      <c r="CX16" s="15"/>
      <c r="CY16" s="61">
        <f t="shared" si="7"/>
        <v>0</v>
      </c>
      <c r="CZ16" s="66">
        <f t="shared" si="194"/>
        <v>0</v>
      </c>
      <c r="DA16" s="12">
        <f t="shared" si="8"/>
        <v>0</v>
      </c>
      <c r="DB16" s="12">
        <f t="shared" si="8"/>
        <v>0</v>
      </c>
      <c r="DC16" s="12">
        <f t="shared" si="8"/>
        <v>0</v>
      </c>
      <c r="DD16" s="12">
        <f t="shared" si="8"/>
        <v>22500</v>
      </c>
      <c r="DE16" s="12">
        <f t="shared" si="8"/>
        <v>0</v>
      </c>
      <c r="DF16" s="16">
        <f t="shared" si="8"/>
        <v>0</v>
      </c>
      <c r="DG16" s="59">
        <f t="shared" si="195"/>
        <v>0</v>
      </c>
      <c r="DH16" s="69">
        <v>22500</v>
      </c>
      <c r="DI16" s="68">
        <v>0.5</v>
      </c>
      <c r="DJ16" s="12"/>
      <c r="DK16" s="12"/>
      <c r="DL16" s="12">
        <v>0.5</v>
      </c>
      <c r="DM16" s="12"/>
      <c r="DN16" s="15"/>
      <c r="DO16" s="15"/>
      <c r="DP16" s="15"/>
      <c r="DQ16" s="61">
        <f t="shared" si="9"/>
        <v>0</v>
      </c>
      <c r="DR16" s="66">
        <f t="shared" si="48"/>
        <v>0</v>
      </c>
      <c r="DS16" s="12">
        <f t="shared" si="10"/>
        <v>0</v>
      </c>
      <c r="DT16" s="12">
        <f t="shared" si="10"/>
        <v>22500</v>
      </c>
      <c r="DU16" s="12">
        <f t="shared" si="10"/>
        <v>0</v>
      </c>
      <c r="DV16" s="12">
        <f t="shared" si="10"/>
        <v>0</v>
      </c>
      <c r="DW16" s="12">
        <f t="shared" si="10"/>
        <v>0</v>
      </c>
      <c r="DX16" s="16">
        <f t="shared" si="10"/>
        <v>0</v>
      </c>
      <c r="DY16" s="59">
        <f t="shared" si="196"/>
        <v>0</v>
      </c>
      <c r="DZ16" s="69">
        <v>22500</v>
      </c>
      <c r="EA16" s="68">
        <v>0.5</v>
      </c>
      <c r="EB16" s="12"/>
      <c r="EC16" s="12"/>
      <c r="ED16" s="12"/>
      <c r="EE16" s="15"/>
      <c r="EF16" s="15"/>
      <c r="EG16" s="15">
        <v>0.5</v>
      </c>
      <c r="EH16" s="61">
        <f t="shared" si="197"/>
        <v>0</v>
      </c>
      <c r="EI16" s="66">
        <f t="shared" si="11"/>
        <v>0</v>
      </c>
      <c r="EJ16" s="12">
        <f t="shared" si="11"/>
        <v>0</v>
      </c>
      <c r="EK16" s="12">
        <f t="shared" si="11"/>
        <v>0</v>
      </c>
      <c r="EL16" s="12">
        <f t="shared" si="11"/>
        <v>0</v>
      </c>
      <c r="EM16" s="12">
        <f t="shared" si="11"/>
        <v>0</v>
      </c>
      <c r="EN16" s="16">
        <f t="shared" si="11"/>
        <v>22500</v>
      </c>
      <c r="EO16" s="59">
        <f t="shared" si="198"/>
        <v>0</v>
      </c>
      <c r="EP16" s="69">
        <v>22500</v>
      </c>
      <c r="EQ16" s="68">
        <v>0.5</v>
      </c>
      <c r="ER16" s="12"/>
      <c r="ES16" s="12"/>
      <c r="ET16" s="15"/>
      <c r="EU16" s="15">
        <v>0.5</v>
      </c>
      <c r="EV16" s="61">
        <f t="shared" si="199"/>
        <v>0</v>
      </c>
      <c r="EW16" s="66">
        <f t="shared" si="49"/>
        <v>0</v>
      </c>
      <c r="EX16" s="12">
        <f t="shared" si="49"/>
        <v>0</v>
      </c>
      <c r="EY16" s="12">
        <f t="shared" si="49"/>
        <v>0</v>
      </c>
      <c r="EZ16" s="16">
        <f t="shared" si="49"/>
        <v>22500</v>
      </c>
      <c r="FA16" s="59">
        <f t="shared" si="200"/>
        <v>0</v>
      </c>
      <c r="FB16" s="69">
        <v>22500</v>
      </c>
      <c r="FC16" s="68">
        <v>0.5</v>
      </c>
      <c r="FD16" s="12"/>
      <c r="FE16" s="15"/>
      <c r="FF16" s="15">
        <v>0.5</v>
      </c>
      <c r="FG16" s="61">
        <f t="shared" si="201"/>
        <v>0</v>
      </c>
      <c r="FH16" s="66">
        <f t="shared" si="50"/>
        <v>0</v>
      </c>
      <c r="FI16" s="12">
        <f t="shared" si="50"/>
        <v>0</v>
      </c>
      <c r="FJ16" s="16">
        <f t="shared" si="50"/>
        <v>22500</v>
      </c>
      <c r="FK16" s="59">
        <f t="shared" si="202"/>
        <v>0</v>
      </c>
      <c r="FL16" s="69">
        <v>22500</v>
      </c>
      <c r="FM16" s="68">
        <v>0.5</v>
      </c>
      <c r="FN16" s="12"/>
      <c r="FO16" s="15">
        <v>0.5</v>
      </c>
      <c r="FP16" s="15"/>
      <c r="FQ16" s="15"/>
      <c r="FR16" s="15"/>
      <c r="FS16" s="61">
        <f t="shared" si="203"/>
        <v>0</v>
      </c>
      <c r="FT16" s="66">
        <f t="shared" si="204"/>
        <v>0</v>
      </c>
      <c r="FU16" s="12">
        <f t="shared" si="205"/>
        <v>22500</v>
      </c>
      <c r="FV16" s="12">
        <f t="shared" si="206"/>
        <v>0</v>
      </c>
      <c r="FW16" s="12">
        <f t="shared" si="207"/>
        <v>0</v>
      </c>
      <c r="FX16" s="16">
        <f t="shared" si="51"/>
        <v>0</v>
      </c>
      <c r="FY16" s="59">
        <f t="shared" si="52"/>
        <v>0</v>
      </c>
      <c r="FZ16" s="69">
        <v>22500</v>
      </c>
      <c r="GA16" s="68">
        <v>0.5</v>
      </c>
      <c r="GB16" s="12">
        <v>0.5</v>
      </c>
      <c r="GC16" s="15"/>
      <c r="GD16" s="15"/>
      <c r="GE16" s="15"/>
      <c r="GF16" s="61">
        <f t="shared" si="208"/>
        <v>0</v>
      </c>
      <c r="GG16" s="66">
        <f t="shared" si="53"/>
        <v>22500</v>
      </c>
      <c r="GH16" s="66">
        <f t="shared" si="12"/>
        <v>22500</v>
      </c>
      <c r="GI16" s="12">
        <f t="shared" si="13"/>
        <v>0</v>
      </c>
      <c r="GJ16" s="12">
        <f t="shared" si="179"/>
        <v>0</v>
      </c>
      <c r="GK16" s="31">
        <f t="shared" si="14"/>
        <v>0</v>
      </c>
      <c r="GL16" s="123">
        <f t="shared" si="15"/>
        <v>0</v>
      </c>
      <c r="GM16" s="410">
        <f t="shared" si="16"/>
        <v>0</v>
      </c>
      <c r="GN16" s="414">
        <v>22500</v>
      </c>
      <c r="GO16" s="68">
        <v>0.5</v>
      </c>
      <c r="GP16" s="12">
        <v>0.5</v>
      </c>
      <c r="GQ16" s="15"/>
      <c r="GR16" s="15"/>
      <c r="GS16" s="15"/>
      <c r="GT16" s="15"/>
      <c r="GU16" s="61">
        <f t="shared" si="54"/>
        <v>0</v>
      </c>
      <c r="GV16" s="66">
        <f t="shared" si="17"/>
        <v>22500</v>
      </c>
      <c r="GW16" s="12">
        <f t="shared" si="18"/>
        <v>0</v>
      </c>
      <c r="GX16" s="12">
        <f t="shared" si="19"/>
        <v>0</v>
      </c>
      <c r="GY16" s="12">
        <f t="shared" si="20"/>
        <v>0</v>
      </c>
      <c r="GZ16" s="16">
        <f t="shared" si="21"/>
        <v>0</v>
      </c>
      <c r="HA16" s="59">
        <f t="shared" si="55"/>
        <v>0</v>
      </c>
      <c r="HB16" s="69">
        <v>27000</v>
      </c>
      <c r="HC16" s="68">
        <v>0.5</v>
      </c>
      <c r="HD16" s="12"/>
      <c r="HE16" s="15"/>
      <c r="HF16" s="15"/>
      <c r="HG16" s="15"/>
      <c r="HH16" s="15"/>
      <c r="HI16" s="15"/>
      <c r="HJ16" s="15">
        <v>0.5</v>
      </c>
      <c r="HK16" s="15"/>
      <c r="HL16" s="61">
        <f t="shared" si="56"/>
        <v>0</v>
      </c>
      <c r="HM16" s="66">
        <f t="shared" si="22"/>
        <v>0</v>
      </c>
      <c r="HN16" s="12">
        <f t="shared" si="23"/>
        <v>0</v>
      </c>
      <c r="HO16" s="12">
        <f t="shared" si="24"/>
        <v>0</v>
      </c>
      <c r="HP16" s="12">
        <f t="shared" si="25"/>
        <v>0</v>
      </c>
      <c r="HQ16" s="12">
        <f t="shared" si="26"/>
        <v>0</v>
      </c>
      <c r="HR16" s="12">
        <f t="shared" si="27"/>
        <v>0</v>
      </c>
      <c r="HS16" s="12">
        <f t="shared" si="28"/>
        <v>27000</v>
      </c>
      <c r="HT16" s="16">
        <f t="shared" si="29"/>
        <v>0</v>
      </c>
      <c r="HU16" s="59">
        <f t="shared" si="57"/>
        <v>0</v>
      </c>
      <c r="HV16" s="69">
        <v>22500</v>
      </c>
      <c r="HW16" s="68">
        <v>0.5</v>
      </c>
      <c r="HX16" s="12"/>
      <c r="HY16" s="15"/>
      <c r="HZ16" s="61">
        <f t="shared" si="58"/>
        <v>0.5</v>
      </c>
      <c r="IA16" s="66">
        <f t="shared" si="59"/>
        <v>0</v>
      </c>
      <c r="IB16" s="16">
        <f t="shared" si="59"/>
        <v>0</v>
      </c>
      <c r="IC16" s="59">
        <f t="shared" si="60"/>
        <v>22500</v>
      </c>
      <c r="ID16" s="129">
        <f>1285.71+21818.16</f>
        <v>23103.87</v>
      </c>
      <c r="IE16" s="68">
        <v>0.5</v>
      </c>
      <c r="IF16" s="12"/>
      <c r="IG16" s="15"/>
      <c r="IH16" s="15"/>
      <c r="II16" s="15"/>
      <c r="IJ16" s="15"/>
      <c r="IK16" s="15"/>
      <c r="IL16" s="15">
        <v>0.5</v>
      </c>
      <c r="IM16" s="15"/>
      <c r="IN16" s="15"/>
      <c r="IO16" s="61">
        <f t="shared" si="61"/>
        <v>0</v>
      </c>
      <c r="IP16" s="66">
        <f t="shared" si="180"/>
        <v>0</v>
      </c>
      <c r="IQ16" s="12">
        <f t="shared" si="181"/>
        <v>0</v>
      </c>
      <c r="IR16" s="12">
        <f t="shared" si="182"/>
        <v>0</v>
      </c>
      <c r="IS16" s="12">
        <f t="shared" si="183"/>
        <v>0</v>
      </c>
      <c r="IT16" s="12">
        <f t="shared" si="184"/>
        <v>0</v>
      </c>
      <c r="IU16" s="12">
        <f t="shared" si="185"/>
        <v>0</v>
      </c>
      <c r="IV16" s="12">
        <f t="shared" si="186"/>
        <v>23103.87</v>
      </c>
      <c r="IW16" s="15">
        <f t="shared" si="187"/>
        <v>0</v>
      </c>
      <c r="IX16" s="16">
        <f t="shared" si="188"/>
        <v>0</v>
      </c>
      <c r="IY16" s="59">
        <f t="shared" si="70"/>
        <v>0</v>
      </c>
      <c r="IZ16" s="129">
        <v>27000</v>
      </c>
      <c r="JA16" s="68">
        <v>0.5</v>
      </c>
      <c r="JB16" s="12"/>
      <c r="JC16" s="15"/>
      <c r="JD16" s="15"/>
      <c r="JE16" s="15"/>
      <c r="JF16" s="15"/>
      <c r="JG16" s="15">
        <v>0.5</v>
      </c>
      <c r="JH16" s="15"/>
      <c r="JI16" s="15"/>
      <c r="JJ16" s="15"/>
      <c r="JK16" s="61">
        <f t="shared" si="71"/>
        <v>0</v>
      </c>
      <c r="JL16" s="66">
        <f t="shared" si="72"/>
        <v>0</v>
      </c>
      <c r="JM16" s="12">
        <f t="shared" si="73"/>
        <v>0</v>
      </c>
      <c r="JN16" s="12">
        <f t="shared" si="74"/>
        <v>0</v>
      </c>
      <c r="JO16" s="12">
        <f t="shared" si="75"/>
        <v>0</v>
      </c>
      <c r="JP16" s="12">
        <f t="shared" si="76"/>
        <v>0</v>
      </c>
      <c r="JQ16" s="12">
        <f t="shared" si="77"/>
        <v>27000</v>
      </c>
      <c r="JR16" s="12">
        <f t="shared" si="78"/>
        <v>0</v>
      </c>
      <c r="JS16" s="12">
        <f t="shared" si="79"/>
        <v>0</v>
      </c>
      <c r="JT16" s="16">
        <f t="shared" si="80"/>
        <v>0</v>
      </c>
      <c r="JU16" s="59">
        <f t="shared" si="81"/>
        <v>0</v>
      </c>
      <c r="JV16" s="129">
        <v>27000</v>
      </c>
      <c r="JW16" s="68">
        <v>0.5</v>
      </c>
      <c r="JX16" s="12"/>
      <c r="JY16" s="12"/>
      <c r="JZ16" s="15"/>
      <c r="KA16" s="15"/>
      <c r="KB16" s="15"/>
      <c r="KC16" s="15"/>
      <c r="KD16" s="15">
        <v>0.5</v>
      </c>
      <c r="KE16" s="15"/>
      <c r="KF16" s="15"/>
      <c r="KG16" s="61">
        <f t="shared" si="82"/>
        <v>0</v>
      </c>
      <c r="KH16" s="146">
        <f t="shared" si="83"/>
        <v>0</v>
      </c>
      <c r="KI16" s="12">
        <f t="shared" si="83"/>
        <v>0</v>
      </c>
      <c r="KJ16" s="12">
        <f t="shared" si="84"/>
        <v>0</v>
      </c>
      <c r="KK16" s="12">
        <f t="shared" si="85"/>
        <v>0</v>
      </c>
      <c r="KL16" s="12">
        <f t="shared" si="86"/>
        <v>0</v>
      </c>
      <c r="KM16" s="12">
        <f t="shared" si="87"/>
        <v>0</v>
      </c>
      <c r="KN16" s="12">
        <f t="shared" si="88"/>
        <v>27000</v>
      </c>
      <c r="KO16" s="12">
        <f t="shared" si="89"/>
        <v>0</v>
      </c>
      <c r="KP16" s="16">
        <f t="shared" si="90"/>
        <v>0</v>
      </c>
      <c r="KQ16" s="59">
        <f t="shared" si="91"/>
        <v>0</v>
      </c>
      <c r="KR16" s="129">
        <v>27000</v>
      </c>
      <c r="KS16" s="68">
        <v>0.5</v>
      </c>
      <c r="KT16" s="12"/>
      <c r="KU16" s="15"/>
      <c r="KV16" s="15"/>
      <c r="KW16" s="15"/>
      <c r="KX16" s="15"/>
      <c r="KY16" s="15">
        <v>0.5</v>
      </c>
      <c r="KZ16" s="15"/>
      <c r="LA16" s="15"/>
      <c r="LB16" s="61">
        <f t="shared" si="92"/>
        <v>0</v>
      </c>
      <c r="LC16" s="66">
        <f t="shared" si="93"/>
        <v>0</v>
      </c>
      <c r="LD16" s="12">
        <f t="shared" si="94"/>
        <v>0</v>
      </c>
      <c r="LE16" s="12">
        <f t="shared" si="95"/>
        <v>0</v>
      </c>
      <c r="LF16" s="12">
        <f t="shared" si="96"/>
        <v>0</v>
      </c>
      <c r="LG16" s="12">
        <f t="shared" si="97"/>
        <v>0</v>
      </c>
      <c r="LH16" s="12">
        <f t="shared" si="98"/>
        <v>27000</v>
      </c>
      <c r="LI16" s="12">
        <f t="shared" si="99"/>
        <v>0</v>
      </c>
      <c r="LJ16" s="16">
        <f t="shared" si="100"/>
        <v>0</v>
      </c>
      <c r="LK16" s="59">
        <f t="shared" si="101"/>
        <v>0</v>
      </c>
      <c r="LL16" s="129">
        <v>27000</v>
      </c>
      <c r="LM16" s="68">
        <v>0.5</v>
      </c>
      <c r="LN16" s="15"/>
      <c r="LO16" s="15"/>
      <c r="LP16" s="15"/>
      <c r="LQ16" s="15"/>
      <c r="LR16" s="15">
        <v>0.5</v>
      </c>
      <c r="LS16" s="15"/>
      <c r="LT16" s="15"/>
      <c r="LU16" s="61">
        <f t="shared" si="102"/>
        <v>0</v>
      </c>
      <c r="LV16" s="66">
        <f t="shared" si="103"/>
        <v>0</v>
      </c>
      <c r="LW16" s="12">
        <f t="shared" si="104"/>
        <v>0</v>
      </c>
      <c r="LX16" s="12">
        <f t="shared" si="105"/>
        <v>0</v>
      </c>
      <c r="LY16" s="12">
        <f t="shared" si="106"/>
        <v>0</v>
      </c>
      <c r="LZ16" s="12">
        <f t="shared" si="107"/>
        <v>27000</v>
      </c>
      <c r="MA16" s="12">
        <f t="shared" si="108"/>
        <v>0</v>
      </c>
      <c r="MB16" s="16">
        <f t="shared" si="109"/>
        <v>0</v>
      </c>
      <c r="MC16" s="59">
        <f t="shared" si="110"/>
        <v>0</v>
      </c>
      <c r="MD16" s="129">
        <v>27000</v>
      </c>
      <c r="ME16" s="68">
        <v>0.5</v>
      </c>
      <c r="MF16" s="15"/>
      <c r="MG16" s="15"/>
      <c r="MH16" s="15"/>
      <c r="MI16" s="15">
        <v>0.5</v>
      </c>
      <c r="MJ16" s="15"/>
      <c r="MK16" s="15"/>
      <c r="ML16" s="15"/>
      <c r="MM16" s="61">
        <f t="shared" si="111"/>
        <v>0</v>
      </c>
      <c r="MN16" s="66">
        <f t="shared" si="112"/>
        <v>0</v>
      </c>
      <c r="MO16" s="12">
        <f t="shared" si="113"/>
        <v>0</v>
      </c>
      <c r="MP16" s="12">
        <f t="shared" si="114"/>
        <v>0</v>
      </c>
      <c r="MQ16" s="12">
        <f t="shared" si="115"/>
        <v>27000</v>
      </c>
      <c r="MR16" s="12">
        <f t="shared" si="116"/>
        <v>0</v>
      </c>
      <c r="MS16" s="12">
        <f t="shared" si="116"/>
        <v>0</v>
      </c>
      <c r="MT16" s="16">
        <f t="shared" si="117"/>
        <v>0</v>
      </c>
      <c r="MU16" s="59">
        <f t="shared" si="189"/>
        <v>0</v>
      </c>
      <c r="MV16" s="617">
        <v>27000</v>
      </c>
      <c r="MW16" s="619">
        <v>0.5</v>
      </c>
      <c r="MX16" s="15"/>
      <c r="MY16" s="15"/>
      <c r="MZ16" s="15">
        <v>0.2</v>
      </c>
      <c r="NA16" s="15">
        <v>0.3</v>
      </c>
      <c r="NB16" s="15"/>
      <c r="NC16" s="15"/>
      <c r="ND16" s="15"/>
      <c r="NE16" s="61">
        <f t="shared" si="118"/>
        <v>0</v>
      </c>
      <c r="NF16" s="66">
        <f t="shared" si="119"/>
        <v>0</v>
      </c>
      <c r="NG16" s="12">
        <f t="shared" si="120"/>
        <v>0</v>
      </c>
      <c r="NH16" s="12">
        <f t="shared" si="121"/>
        <v>10800</v>
      </c>
      <c r="NI16" s="12">
        <f t="shared" si="122"/>
        <v>16200</v>
      </c>
      <c r="NJ16" s="12">
        <f t="shared" si="123"/>
        <v>0</v>
      </c>
      <c r="NK16" s="12">
        <f t="shared" si="123"/>
        <v>0</v>
      </c>
      <c r="NL16" s="16">
        <f t="shared" si="124"/>
        <v>0</v>
      </c>
      <c r="NM16" s="59">
        <f t="shared" si="125"/>
        <v>0</v>
      </c>
      <c r="NN16" s="617">
        <v>27000</v>
      </c>
      <c r="NO16" s="619">
        <v>0.5</v>
      </c>
      <c r="NP16" s="15"/>
      <c r="NQ16" s="15">
        <v>0.5</v>
      </c>
      <c r="NR16" s="15"/>
      <c r="NS16" s="15"/>
      <c r="NT16" s="15"/>
      <c r="NU16" s="61">
        <f t="shared" si="126"/>
        <v>0</v>
      </c>
      <c r="NV16" s="66">
        <f t="shared" si="190"/>
        <v>0</v>
      </c>
      <c r="NW16" s="12">
        <f t="shared" si="209"/>
        <v>27000</v>
      </c>
      <c r="NX16" s="12">
        <f t="shared" si="210"/>
        <v>0</v>
      </c>
      <c r="NY16" s="12">
        <f t="shared" si="211"/>
        <v>0</v>
      </c>
      <c r="NZ16" s="16">
        <f t="shared" si="212"/>
        <v>0</v>
      </c>
      <c r="OA16" s="59">
        <f t="shared" si="131"/>
        <v>0</v>
      </c>
      <c r="OB16" s="131">
        <v>27000</v>
      </c>
      <c r="OC16" s="133">
        <v>0.5</v>
      </c>
      <c r="OD16" s="15"/>
      <c r="OE16" s="15">
        <v>0.5</v>
      </c>
      <c r="OF16" s="15"/>
      <c r="OG16" s="15"/>
      <c r="OH16" s="15"/>
      <c r="OI16" s="61">
        <f t="shared" si="163"/>
        <v>0</v>
      </c>
      <c r="OJ16" s="66">
        <f t="shared" si="132"/>
        <v>0</v>
      </c>
      <c r="OK16" s="12">
        <f t="shared" si="133"/>
        <v>27000</v>
      </c>
      <c r="OL16" s="12">
        <f t="shared" si="134"/>
        <v>0</v>
      </c>
      <c r="OM16" s="12">
        <f t="shared" si="135"/>
        <v>0</v>
      </c>
      <c r="ON16" s="16">
        <f t="shared" si="136"/>
        <v>0</v>
      </c>
      <c r="OO16" s="59">
        <f t="shared" si="137"/>
        <v>0</v>
      </c>
      <c r="OP16" s="131">
        <v>27000</v>
      </c>
      <c r="OQ16" s="133">
        <v>0.5</v>
      </c>
      <c r="OR16" s="15"/>
      <c r="OS16" s="15"/>
      <c r="OT16" s="15"/>
      <c r="OU16" s="15"/>
      <c r="OV16" s="15"/>
      <c r="OW16" s="61">
        <f t="shared" si="138"/>
        <v>0.5</v>
      </c>
      <c r="OX16" s="66">
        <f t="shared" si="139"/>
        <v>0</v>
      </c>
      <c r="OY16" s="12">
        <f t="shared" si="140"/>
        <v>0</v>
      </c>
      <c r="OZ16" s="12">
        <f t="shared" si="141"/>
        <v>0</v>
      </c>
      <c r="PA16" s="12">
        <f t="shared" si="142"/>
        <v>0</v>
      </c>
      <c r="PB16" s="16">
        <f t="shared" si="143"/>
        <v>0</v>
      </c>
      <c r="PC16" s="59">
        <f t="shared" si="144"/>
        <v>27000</v>
      </c>
      <c r="PD16" s="131">
        <v>27000</v>
      </c>
      <c r="PE16" s="133">
        <v>0.5</v>
      </c>
      <c r="PF16" s="15"/>
      <c r="PG16" s="15"/>
      <c r="PH16" s="15"/>
      <c r="PI16" s="15"/>
      <c r="PJ16" s="15"/>
      <c r="PK16" s="61">
        <f t="shared" si="145"/>
        <v>0.5</v>
      </c>
      <c r="PL16" s="66">
        <f t="shared" si="174"/>
        <v>0</v>
      </c>
      <c r="PM16" s="12">
        <f t="shared" si="175"/>
        <v>0</v>
      </c>
      <c r="PN16" s="12">
        <f t="shared" si="176"/>
        <v>0</v>
      </c>
      <c r="PO16" s="12">
        <f t="shared" si="177"/>
        <v>0</v>
      </c>
      <c r="PP16" s="16">
        <f t="shared" si="178"/>
        <v>0</v>
      </c>
      <c r="PQ16" s="59">
        <f t="shared" si="150"/>
        <v>27000</v>
      </c>
      <c r="PS16" s="884">
        <f t="shared" si="151"/>
        <v>0</v>
      </c>
    </row>
    <row r="17" spans="2:435" x14ac:dyDescent="0.2">
      <c r="B17" s="24"/>
      <c r="C17" s="137" t="s">
        <v>5</v>
      </c>
      <c r="D17" s="26">
        <v>45000</v>
      </c>
      <c r="E17" s="42">
        <v>1</v>
      </c>
      <c r="F17" s="31">
        <v>0.49</v>
      </c>
      <c r="G17" s="12"/>
      <c r="H17" s="12">
        <v>0.5</v>
      </c>
      <c r="I17" s="12"/>
      <c r="J17" s="12"/>
      <c r="K17" s="12"/>
      <c r="L17" s="15"/>
      <c r="M17" s="61">
        <f t="shared" si="41"/>
        <v>0.01</v>
      </c>
      <c r="N17" s="31">
        <f t="shared" si="0"/>
        <v>22050</v>
      </c>
      <c r="O17" s="12">
        <f t="shared" si="0"/>
        <v>0</v>
      </c>
      <c r="P17" s="12">
        <f t="shared" si="0"/>
        <v>22500</v>
      </c>
      <c r="Q17" s="12">
        <f t="shared" si="0"/>
        <v>0</v>
      </c>
      <c r="R17" s="12">
        <f t="shared" si="0"/>
        <v>0</v>
      </c>
      <c r="S17" s="12">
        <f t="shared" si="0"/>
        <v>0</v>
      </c>
      <c r="T17" s="15">
        <f t="shared" si="0"/>
        <v>0</v>
      </c>
      <c r="U17" s="59">
        <f t="shared" si="191"/>
        <v>450</v>
      </c>
      <c r="V17" s="26">
        <v>55000</v>
      </c>
      <c r="W17" s="42">
        <v>1</v>
      </c>
      <c r="X17" s="31"/>
      <c r="Y17" s="12"/>
      <c r="Z17" s="12">
        <v>1</v>
      </c>
      <c r="AA17" s="12"/>
      <c r="AB17" s="12"/>
      <c r="AC17" s="12"/>
      <c r="AD17" s="15"/>
      <c r="AE17" s="15"/>
      <c r="AF17" s="61">
        <f t="shared" si="42"/>
        <v>0</v>
      </c>
      <c r="AG17" s="35">
        <f t="shared" si="43"/>
        <v>0</v>
      </c>
      <c r="AH17" s="35">
        <f t="shared" si="1"/>
        <v>0</v>
      </c>
      <c r="AI17" s="35">
        <f t="shared" si="1"/>
        <v>55000</v>
      </c>
      <c r="AJ17" s="35">
        <f t="shared" si="1"/>
        <v>0</v>
      </c>
      <c r="AK17" s="35">
        <f t="shared" si="1"/>
        <v>0</v>
      </c>
      <c r="AL17" s="35">
        <f t="shared" si="1"/>
        <v>0</v>
      </c>
      <c r="AM17" s="35">
        <f t="shared" si="1"/>
        <v>0</v>
      </c>
      <c r="AN17" s="35">
        <f t="shared" si="1"/>
        <v>0</v>
      </c>
      <c r="AO17" s="62">
        <f t="shared" si="44"/>
        <v>0</v>
      </c>
      <c r="AP17" s="26">
        <v>55000</v>
      </c>
      <c r="AQ17" s="42">
        <v>1</v>
      </c>
      <c r="AR17" s="12">
        <v>0.9</v>
      </c>
      <c r="AS17" s="12"/>
      <c r="AT17" s="12"/>
      <c r="AU17" s="12"/>
      <c r="AV17" s="15"/>
      <c r="AW17" s="15">
        <v>0.1</v>
      </c>
      <c r="AX17" s="61">
        <f t="shared" si="45"/>
        <v>0</v>
      </c>
      <c r="AY17" s="35">
        <f t="shared" si="2"/>
        <v>49500</v>
      </c>
      <c r="AZ17" s="35">
        <f t="shared" si="2"/>
        <v>0</v>
      </c>
      <c r="BA17" s="35">
        <f t="shared" si="2"/>
        <v>0</v>
      </c>
      <c r="BB17" s="35">
        <f t="shared" si="2"/>
        <v>0</v>
      </c>
      <c r="BC17" s="35">
        <f t="shared" si="2"/>
        <v>0</v>
      </c>
      <c r="BD17" s="34">
        <f t="shared" si="2"/>
        <v>5500</v>
      </c>
      <c r="BE17" s="59">
        <f t="shared" si="46"/>
        <v>0</v>
      </c>
      <c r="BF17" s="26">
        <v>88673.279999999999</v>
      </c>
      <c r="BG17" s="42">
        <v>0.5</v>
      </c>
      <c r="BH17" s="12"/>
      <c r="BI17" s="12"/>
      <c r="BJ17" s="12"/>
      <c r="BK17" s="12"/>
      <c r="BL17" s="15"/>
      <c r="BM17" s="15">
        <v>0.5</v>
      </c>
      <c r="BN17" s="15"/>
      <c r="BO17" s="61">
        <f t="shared" si="3"/>
        <v>0</v>
      </c>
      <c r="BP17" s="65">
        <f t="shared" si="4"/>
        <v>0</v>
      </c>
      <c r="BQ17" s="33">
        <f t="shared" si="4"/>
        <v>0</v>
      </c>
      <c r="BR17" s="33">
        <f t="shared" si="4"/>
        <v>0</v>
      </c>
      <c r="BS17" s="33">
        <f t="shared" si="4"/>
        <v>0</v>
      </c>
      <c r="BT17" s="33">
        <f t="shared" si="4"/>
        <v>0</v>
      </c>
      <c r="BU17" s="33">
        <f t="shared" si="4"/>
        <v>88673.279999999999</v>
      </c>
      <c r="BV17" s="34">
        <f t="shared" si="4"/>
        <v>0</v>
      </c>
      <c r="BW17" s="59">
        <f t="shared" si="192"/>
        <v>0</v>
      </c>
      <c r="BX17" s="26"/>
      <c r="BY17" s="68"/>
      <c r="BZ17" s="31"/>
      <c r="CA17" s="12"/>
      <c r="CB17" s="12"/>
      <c r="CC17" s="12"/>
      <c r="CD17" s="15"/>
      <c r="CE17" s="15"/>
      <c r="CF17" s="15"/>
      <c r="CG17" s="61">
        <f t="shared" si="5"/>
        <v>0</v>
      </c>
      <c r="CH17" s="66">
        <f t="shared" si="47"/>
        <v>0</v>
      </c>
      <c r="CI17" s="12">
        <f t="shared" si="6"/>
        <v>0</v>
      </c>
      <c r="CJ17" s="12">
        <f t="shared" si="6"/>
        <v>0</v>
      </c>
      <c r="CK17" s="12">
        <f t="shared" si="6"/>
        <v>0</v>
      </c>
      <c r="CL17" s="12">
        <f t="shared" si="6"/>
        <v>0</v>
      </c>
      <c r="CM17" s="12">
        <f t="shared" si="6"/>
        <v>0</v>
      </c>
      <c r="CN17" s="16">
        <f t="shared" si="6"/>
        <v>0</v>
      </c>
      <c r="CO17" s="59">
        <f t="shared" si="193"/>
        <v>0</v>
      </c>
      <c r="CP17" s="26"/>
      <c r="CQ17" s="68"/>
      <c r="CR17" s="12"/>
      <c r="CS17" s="12"/>
      <c r="CT17" s="12"/>
      <c r="CU17" s="12"/>
      <c r="CV17" s="15"/>
      <c r="CW17" s="15"/>
      <c r="CX17" s="15"/>
      <c r="CY17" s="61">
        <f t="shared" si="7"/>
        <v>0</v>
      </c>
      <c r="CZ17" s="66">
        <f t="shared" si="194"/>
        <v>0</v>
      </c>
      <c r="DA17" s="12">
        <f t="shared" si="8"/>
        <v>0</v>
      </c>
      <c r="DB17" s="12">
        <f t="shared" si="8"/>
        <v>0</v>
      </c>
      <c r="DC17" s="12">
        <f t="shared" si="8"/>
        <v>0</v>
      </c>
      <c r="DD17" s="12">
        <f t="shared" si="8"/>
        <v>0</v>
      </c>
      <c r="DE17" s="12">
        <f t="shared" si="8"/>
        <v>0</v>
      </c>
      <c r="DF17" s="16">
        <f t="shared" si="8"/>
        <v>0</v>
      </c>
      <c r="DG17" s="59">
        <f t="shared" si="195"/>
        <v>0</v>
      </c>
      <c r="DH17" s="26"/>
      <c r="DI17" s="68"/>
      <c r="DJ17" s="12"/>
      <c r="DK17" s="12"/>
      <c r="DL17" s="12"/>
      <c r="DM17" s="12"/>
      <c r="DN17" s="15"/>
      <c r="DO17" s="15"/>
      <c r="DP17" s="15"/>
      <c r="DQ17" s="61">
        <f t="shared" si="9"/>
        <v>0</v>
      </c>
      <c r="DR17" s="66">
        <f t="shared" si="48"/>
        <v>0</v>
      </c>
      <c r="DS17" s="12">
        <f t="shared" si="10"/>
        <v>0</v>
      </c>
      <c r="DT17" s="12">
        <f t="shared" si="10"/>
        <v>0</v>
      </c>
      <c r="DU17" s="12">
        <f t="shared" si="10"/>
        <v>0</v>
      </c>
      <c r="DV17" s="12">
        <f t="shared" si="10"/>
        <v>0</v>
      </c>
      <c r="DW17" s="12">
        <f t="shared" si="10"/>
        <v>0</v>
      </c>
      <c r="DX17" s="16">
        <f t="shared" si="10"/>
        <v>0</v>
      </c>
      <c r="DY17" s="59">
        <f t="shared" si="196"/>
        <v>0</v>
      </c>
      <c r="DZ17" s="26"/>
      <c r="EA17" s="68"/>
      <c r="EB17" s="12"/>
      <c r="EC17" s="12"/>
      <c r="ED17" s="12"/>
      <c r="EE17" s="15"/>
      <c r="EF17" s="15"/>
      <c r="EG17" s="15"/>
      <c r="EH17" s="61">
        <f t="shared" si="197"/>
        <v>0</v>
      </c>
      <c r="EI17" s="66">
        <f t="shared" si="11"/>
        <v>0</v>
      </c>
      <c r="EJ17" s="12">
        <f t="shared" si="11"/>
        <v>0</v>
      </c>
      <c r="EK17" s="12">
        <f t="shared" si="11"/>
        <v>0</v>
      </c>
      <c r="EL17" s="12">
        <f t="shared" si="11"/>
        <v>0</v>
      </c>
      <c r="EM17" s="12">
        <f t="shared" si="11"/>
        <v>0</v>
      </c>
      <c r="EN17" s="16">
        <f t="shared" si="11"/>
        <v>0</v>
      </c>
      <c r="EO17" s="59">
        <f t="shared" si="198"/>
        <v>0</v>
      </c>
      <c r="EP17" s="26"/>
      <c r="EQ17" s="68"/>
      <c r="ER17" s="12"/>
      <c r="ES17" s="12"/>
      <c r="ET17" s="15"/>
      <c r="EU17" s="15"/>
      <c r="EV17" s="61">
        <f t="shared" si="199"/>
        <v>0</v>
      </c>
      <c r="EW17" s="66">
        <f t="shared" si="49"/>
        <v>0</v>
      </c>
      <c r="EX17" s="12">
        <f t="shared" si="49"/>
        <v>0</v>
      </c>
      <c r="EY17" s="12">
        <f t="shared" si="49"/>
        <v>0</v>
      </c>
      <c r="EZ17" s="16">
        <f t="shared" si="49"/>
        <v>0</v>
      </c>
      <c r="FA17" s="59">
        <f t="shared" si="200"/>
        <v>0</v>
      </c>
      <c r="FB17" s="26"/>
      <c r="FC17" s="68"/>
      <c r="FD17" s="12"/>
      <c r="FE17" s="15"/>
      <c r="FF17" s="15"/>
      <c r="FG17" s="61">
        <f t="shared" si="201"/>
        <v>0</v>
      </c>
      <c r="FH17" s="66">
        <f t="shared" si="50"/>
        <v>0</v>
      </c>
      <c r="FI17" s="12">
        <f t="shared" si="50"/>
        <v>0</v>
      </c>
      <c r="FJ17" s="16">
        <f t="shared" si="50"/>
        <v>0</v>
      </c>
      <c r="FK17" s="59">
        <f t="shared" si="202"/>
        <v>0</v>
      </c>
      <c r="FL17" s="26"/>
      <c r="FM17" s="68"/>
      <c r="FN17" s="12"/>
      <c r="FO17" s="15"/>
      <c r="FP17" s="15"/>
      <c r="FQ17" s="15"/>
      <c r="FR17" s="15"/>
      <c r="FS17" s="61">
        <f t="shared" si="203"/>
        <v>0</v>
      </c>
      <c r="FT17" s="66">
        <f t="shared" si="204"/>
        <v>0</v>
      </c>
      <c r="FU17" s="12">
        <f t="shared" si="205"/>
        <v>0</v>
      </c>
      <c r="FV17" s="12">
        <f t="shared" si="206"/>
        <v>0</v>
      </c>
      <c r="FW17" s="12">
        <f t="shared" si="207"/>
        <v>0</v>
      </c>
      <c r="FX17" s="16">
        <f t="shared" si="51"/>
        <v>0</v>
      </c>
      <c r="FY17" s="59">
        <f t="shared" si="52"/>
        <v>0</v>
      </c>
      <c r="FZ17" s="26"/>
      <c r="GA17" s="68"/>
      <c r="GB17" s="12"/>
      <c r="GC17" s="15"/>
      <c r="GD17" s="15"/>
      <c r="GE17" s="15"/>
      <c r="GF17" s="61">
        <f t="shared" si="208"/>
        <v>0</v>
      </c>
      <c r="GG17" s="66">
        <f t="shared" si="53"/>
        <v>0</v>
      </c>
      <c r="GH17" s="66">
        <f t="shared" si="12"/>
        <v>0</v>
      </c>
      <c r="GI17" s="12">
        <f t="shared" si="13"/>
        <v>0</v>
      </c>
      <c r="GJ17" s="12">
        <f t="shared" si="179"/>
        <v>0</v>
      </c>
      <c r="GK17" s="31">
        <f t="shared" si="14"/>
        <v>0</v>
      </c>
      <c r="GL17" s="123">
        <f t="shared" si="15"/>
        <v>0</v>
      </c>
      <c r="GM17" s="410">
        <f t="shared" si="16"/>
        <v>0</v>
      </c>
      <c r="GN17" s="414"/>
      <c r="GO17" s="68"/>
      <c r="GP17" s="12"/>
      <c r="GQ17" s="15"/>
      <c r="GR17" s="15"/>
      <c r="GS17" s="15"/>
      <c r="GT17" s="15"/>
      <c r="GU17" s="61">
        <f t="shared" si="54"/>
        <v>0</v>
      </c>
      <c r="GV17" s="66">
        <f t="shared" si="17"/>
        <v>0</v>
      </c>
      <c r="GW17" s="12">
        <f t="shared" si="18"/>
        <v>0</v>
      </c>
      <c r="GX17" s="12">
        <f t="shared" si="19"/>
        <v>0</v>
      </c>
      <c r="GY17" s="12">
        <f t="shared" si="20"/>
        <v>0</v>
      </c>
      <c r="GZ17" s="16">
        <f t="shared" si="21"/>
        <v>0</v>
      </c>
      <c r="HA17" s="59">
        <f t="shared" si="55"/>
        <v>0</v>
      </c>
      <c r="HB17" s="26"/>
      <c r="HC17" s="68"/>
      <c r="HD17" s="12"/>
      <c r="HE17" s="15"/>
      <c r="HF17" s="15"/>
      <c r="HG17" s="15"/>
      <c r="HH17" s="15"/>
      <c r="HI17" s="15"/>
      <c r="HJ17" s="15"/>
      <c r="HK17" s="15"/>
      <c r="HL17" s="61">
        <f t="shared" si="56"/>
        <v>0</v>
      </c>
      <c r="HM17" s="66">
        <f t="shared" si="22"/>
        <v>0</v>
      </c>
      <c r="HN17" s="12">
        <f t="shared" si="23"/>
        <v>0</v>
      </c>
      <c r="HO17" s="12">
        <f t="shared" si="24"/>
        <v>0</v>
      </c>
      <c r="HP17" s="12">
        <f t="shared" si="25"/>
        <v>0</v>
      </c>
      <c r="HQ17" s="12">
        <f t="shared" si="26"/>
        <v>0</v>
      </c>
      <c r="HR17" s="12">
        <f t="shared" si="27"/>
        <v>0</v>
      </c>
      <c r="HS17" s="12">
        <f t="shared" si="28"/>
        <v>0</v>
      </c>
      <c r="HT17" s="16">
        <f t="shared" si="29"/>
        <v>0</v>
      </c>
      <c r="HU17" s="59">
        <f t="shared" si="57"/>
        <v>0</v>
      </c>
      <c r="HV17" s="26"/>
      <c r="HW17" s="68"/>
      <c r="HX17" s="12"/>
      <c r="HY17" s="15"/>
      <c r="HZ17" s="61">
        <f t="shared" si="58"/>
        <v>0</v>
      </c>
      <c r="IA17" s="66">
        <f t="shared" si="59"/>
        <v>0</v>
      </c>
      <c r="IB17" s="16">
        <f t="shared" si="59"/>
        <v>0</v>
      </c>
      <c r="IC17" s="59">
        <f t="shared" si="60"/>
        <v>0</v>
      </c>
      <c r="ID17" s="26"/>
      <c r="IE17" s="68"/>
      <c r="IF17" s="12"/>
      <c r="IG17" s="15"/>
      <c r="IH17" s="15"/>
      <c r="II17" s="15"/>
      <c r="IJ17" s="15"/>
      <c r="IK17" s="15"/>
      <c r="IL17" s="15"/>
      <c r="IM17" s="15"/>
      <c r="IN17" s="15"/>
      <c r="IO17" s="61">
        <f t="shared" si="61"/>
        <v>0</v>
      </c>
      <c r="IP17" s="66">
        <f t="shared" si="62"/>
        <v>0</v>
      </c>
      <c r="IQ17" s="12">
        <f t="shared" si="63"/>
        <v>0</v>
      </c>
      <c r="IR17" s="12">
        <f t="shared" si="64"/>
        <v>0</v>
      </c>
      <c r="IS17" s="12">
        <f t="shared" si="65"/>
        <v>0</v>
      </c>
      <c r="IT17" s="12">
        <f t="shared" si="66"/>
        <v>0</v>
      </c>
      <c r="IU17" s="12">
        <f t="shared" si="67"/>
        <v>0</v>
      </c>
      <c r="IV17" s="12">
        <f t="shared" si="68"/>
        <v>0</v>
      </c>
      <c r="IW17" s="15">
        <f t="shared" si="69"/>
        <v>0</v>
      </c>
      <c r="IX17" s="16">
        <f t="shared" si="69"/>
        <v>0</v>
      </c>
      <c r="IY17" s="59">
        <f t="shared" si="70"/>
        <v>0</v>
      </c>
      <c r="IZ17" s="26"/>
      <c r="JA17" s="68"/>
      <c r="JB17" s="12"/>
      <c r="JC17" s="15"/>
      <c r="JD17" s="15"/>
      <c r="JE17" s="15"/>
      <c r="JF17" s="15"/>
      <c r="JG17" s="15"/>
      <c r="JH17" s="15"/>
      <c r="JI17" s="15"/>
      <c r="JJ17" s="15"/>
      <c r="JK17" s="61">
        <f t="shared" si="71"/>
        <v>0</v>
      </c>
      <c r="JL17" s="66">
        <f t="shared" si="72"/>
        <v>0</v>
      </c>
      <c r="JM17" s="12">
        <f t="shared" si="73"/>
        <v>0</v>
      </c>
      <c r="JN17" s="12">
        <f t="shared" si="74"/>
        <v>0</v>
      </c>
      <c r="JO17" s="12">
        <f t="shared" si="75"/>
        <v>0</v>
      </c>
      <c r="JP17" s="12">
        <f t="shared" si="76"/>
        <v>0</v>
      </c>
      <c r="JQ17" s="12">
        <f t="shared" si="77"/>
        <v>0</v>
      </c>
      <c r="JR17" s="12">
        <f t="shared" si="78"/>
        <v>0</v>
      </c>
      <c r="JS17" s="12">
        <f t="shared" si="79"/>
        <v>0</v>
      </c>
      <c r="JT17" s="16">
        <f t="shared" si="80"/>
        <v>0</v>
      </c>
      <c r="JU17" s="59">
        <f t="shared" si="81"/>
        <v>0</v>
      </c>
      <c r="JV17" s="26"/>
      <c r="JW17" s="68"/>
      <c r="JX17" s="12"/>
      <c r="JY17" s="12"/>
      <c r="JZ17" s="15"/>
      <c r="KA17" s="15"/>
      <c r="KB17" s="15"/>
      <c r="KC17" s="15"/>
      <c r="KD17" s="15"/>
      <c r="KE17" s="15"/>
      <c r="KF17" s="15"/>
      <c r="KG17" s="61">
        <f t="shared" si="82"/>
        <v>0</v>
      </c>
      <c r="KH17" s="146">
        <f t="shared" si="83"/>
        <v>0</v>
      </c>
      <c r="KI17" s="12">
        <f t="shared" si="83"/>
        <v>0</v>
      </c>
      <c r="KJ17" s="12">
        <f t="shared" si="84"/>
        <v>0</v>
      </c>
      <c r="KK17" s="12">
        <f t="shared" si="85"/>
        <v>0</v>
      </c>
      <c r="KL17" s="12">
        <f t="shared" si="86"/>
        <v>0</v>
      </c>
      <c r="KM17" s="12">
        <f t="shared" si="87"/>
        <v>0</v>
      </c>
      <c r="KN17" s="12">
        <f t="shared" si="88"/>
        <v>0</v>
      </c>
      <c r="KO17" s="12">
        <f t="shared" si="89"/>
        <v>0</v>
      </c>
      <c r="KP17" s="16">
        <f t="shared" si="90"/>
        <v>0</v>
      </c>
      <c r="KQ17" s="59">
        <f t="shared" si="91"/>
        <v>0</v>
      </c>
      <c r="KR17" s="26"/>
      <c r="KS17" s="68"/>
      <c r="KT17" s="12"/>
      <c r="KU17" s="15"/>
      <c r="KV17" s="15"/>
      <c r="KW17" s="15"/>
      <c r="KX17" s="15"/>
      <c r="KY17" s="15"/>
      <c r="KZ17" s="15"/>
      <c r="LA17" s="15"/>
      <c r="LB17" s="61">
        <f t="shared" si="92"/>
        <v>0</v>
      </c>
      <c r="LC17" s="66">
        <f t="shared" si="93"/>
        <v>0</v>
      </c>
      <c r="LD17" s="12">
        <f t="shared" si="94"/>
        <v>0</v>
      </c>
      <c r="LE17" s="12">
        <f t="shared" si="95"/>
        <v>0</v>
      </c>
      <c r="LF17" s="12">
        <f t="shared" si="96"/>
        <v>0</v>
      </c>
      <c r="LG17" s="12">
        <f t="shared" si="97"/>
        <v>0</v>
      </c>
      <c r="LH17" s="12">
        <f t="shared" si="98"/>
        <v>0</v>
      </c>
      <c r="LI17" s="12">
        <f t="shared" si="99"/>
        <v>0</v>
      </c>
      <c r="LJ17" s="16">
        <f t="shared" si="100"/>
        <v>0</v>
      </c>
      <c r="LK17" s="59">
        <f t="shared" si="101"/>
        <v>0</v>
      </c>
      <c r="LL17" s="26"/>
      <c r="LM17" s="68"/>
      <c r="LN17" s="15"/>
      <c r="LO17" s="15"/>
      <c r="LP17" s="15"/>
      <c r="LQ17" s="15"/>
      <c r="LR17" s="15"/>
      <c r="LS17" s="15"/>
      <c r="LT17" s="15"/>
      <c r="LU17" s="61">
        <f t="shared" si="102"/>
        <v>0</v>
      </c>
      <c r="LV17" s="66">
        <f t="shared" si="103"/>
        <v>0</v>
      </c>
      <c r="LW17" s="12">
        <f t="shared" si="104"/>
        <v>0</v>
      </c>
      <c r="LX17" s="12">
        <f t="shared" si="105"/>
        <v>0</v>
      </c>
      <c r="LY17" s="12">
        <f t="shared" si="106"/>
        <v>0</v>
      </c>
      <c r="LZ17" s="12">
        <f t="shared" si="107"/>
        <v>0</v>
      </c>
      <c r="MA17" s="12">
        <f t="shared" si="108"/>
        <v>0</v>
      </c>
      <c r="MB17" s="16">
        <f t="shared" si="109"/>
        <v>0</v>
      </c>
      <c r="MC17" s="59">
        <f t="shared" si="110"/>
        <v>0</v>
      </c>
      <c r="MD17" s="26"/>
      <c r="ME17" s="68"/>
      <c r="MF17" s="15"/>
      <c r="MG17" s="15"/>
      <c r="MH17" s="15"/>
      <c r="MI17" s="15"/>
      <c r="MJ17" s="15"/>
      <c r="MK17" s="15"/>
      <c r="ML17" s="15"/>
      <c r="MM17" s="61">
        <f t="shared" si="111"/>
        <v>0</v>
      </c>
      <c r="MN17" s="66">
        <f t="shared" si="112"/>
        <v>0</v>
      </c>
      <c r="MO17" s="12">
        <f t="shared" si="113"/>
        <v>0</v>
      </c>
      <c r="MP17" s="12">
        <f t="shared" si="114"/>
        <v>0</v>
      </c>
      <c r="MQ17" s="12">
        <f t="shared" si="115"/>
        <v>0</v>
      </c>
      <c r="MR17" s="12">
        <f t="shared" si="116"/>
        <v>0</v>
      </c>
      <c r="MS17" s="12">
        <f t="shared" si="116"/>
        <v>0</v>
      </c>
      <c r="MT17" s="16">
        <f t="shared" si="117"/>
        <v>0</v>
      </c>
      <c r="MU17" s="59">
        <f t="shared" si="189"/>
        <v>0</v>
      </c>
      <c r="MV17" s="621"/>
      <c r="MW17" s="619"/>
      <c r="MX17" s="15"/>
      <c r="MY17" s="15"/>
      <c r="MZ17" s="15"/>
      <c r="NA17" s="15"/>
      <c r="NB17" s="15"/>
      <c r="NC17" s="15"/>
      <c r="ND17" s="15"/>
      <c r="NE17" s="61">
        <f t="shared" si="118"/>
        <v>0</v>
      </c>
      <c r="NF17" s="66">
        <f t="shared" si="119"/>
        <v>0</v>
      </c>
      <c r="NG17" s="12">
        <f t="shared" si="120"/>
        <v>0</v>
      </c>
      <c r="NH17" s="12">
        <f t="shared" si="121"/>
        <v>0</v>
      </c>
      <c r="NI17" s="12">
        <f t="shared" si="122"/>
        <v>0</v>
      </c>
      <c r="NJ17" s="12">
        <f t="shared" si="123"/>
        <v>0</v>
      </c>
      <c r="NK17" s="12">
        <f t="shared" si="123"/>
        <v>0</v>
      </c>
      <c r="NL17" s="16">
        <f t="shared" si="124"/>
        <v>0</v>
      </c>
      <c r="NM17" s="59">
        <f t="shared" si="125"/>
        <v>0</v>
      </c>
      <c r="NN17" s="621"/>
      <c r="NO17" s="619"/>
      <c r="NP17" s="15"/>
      <c r="NQ17" s="15"/>
      <c r="NR17" s="15"/>
      <c r="NS17" s="15"/>
      <c r="NT17" s="15"/>
      <c r="NU17" s="61">
        <f t="shared" si="126"/>
        <v>0</v>
      </c>
      <c r="NV17" s="66">
        <f t="shared" si="190"/>
        <v>0</v>
      </c>
      <c r="NW17" s="12">
        <f t="shared" si="209"/>
        <v>0</v>
      </c>
      <c r="NX17" s="12">
        <f t="shared" si="210"/>
        <v>0</v>
      </c>
      <c r="NY17" s="12">
        <f t="shared" si="211"/>
        <v>0</v>
      </c>
      <c r="NZ17" s="16">
        <f t="shared" si="212"/>
        <v>0</v>
      </c>
      <c r="OA17" s="59">
        <f t="shared" si="131"/>
        <v>0</v>
      </c>
      <c r="OB17" s="135"/>
      <c r="OC17" s="133"/>
      <c r="OD17" s="15"/>
      <c r="OE17" s="15"/>
      <c r="OF17" s="15"/>
      <c r="OG17" s="15"/>
      <c r="OH17" s="15"/>
      <c r="OI17" s="61">
        <f t="shared" si="163"/>
        <v>0</v>
      </c>
      <c r="OJ17" s="66">
        <f t="shared" si="132"/>
        <v>0</v>
      </c>
      <c r="OK17" s="12">
        <f t="shared" si="133"/>
        <v>0</v>
      </c>
      <c r="OL17" s="12">
        <f t="shared" si="134"/>
        <v>0</v>
      </c>
      <c r="OM17" s="12">
        <f t="shared" si="135"/>
        <v>0</v>
      </c>
      <c r="ON17" s="16">
        <f t="shared" si="136"/>
        <v>0</v>
      </c>
      <c r="OO17" s="59">
        <f t="shared" si="137"/>
        <v>0</v>
      </c>
      <c r="OP17" s="135"/>
      <c r="OQ17" s="133"/>
      <c r="OR17" s="15"/>
      <c r="OS17" s="15"/>
      <c r="OT17" s="15"/>
      <c r="OU17" s="15"/>
      <c r="OV17" s="15"/>
      <c r="OW17" s="61">
        <f t="shared" si="138"/>
        <v>0</v>
      </c>
      <c r="OX17" s="66">
        <f t="shared" si="139"/>
        <v>0</v>
      </c>
      <c r="OY17" s="12">
        <f t="shared" si="140"/>
        <v>0</v>
      </c>
      <c r="OZ17" s="12">
        <f t="shared" si="141"/>
        <v>0</v>
      </c>
      <c r="PA17" s="12">
        <f t="shared" si="142"/>
        <v>0</v>
      </c>
      <c r="PB17" s="16">
        <f t="shared" si="143"/>
        <v>0</v>
      </c>
      <c r="PC17" s="59">
        <f t="shared" si="144"/>
        <v>0</v>
      </c>
      <c r="PD17" s="135"/>
      <c r="PE17" s="133"/>
      <c r="PF17" s="15"/>
      <c r="PG17" s="15"/>
      <c r="PH17" s="15"/>
      <c r="PI17" s="15"/>
      <c r="PJ17" s="15"/>
      <c r="PK17" s="61">
        <f t="shared" si="145"/>
        <v>0</v>
      </c>
      <c r="PL17" s="66">
        <f t="shared" si="174"/>
        <v>0</v>
      </c>
      <c r="PM17" s="12">
        <f t="shared" si="175"/>
        <v>0</v>
      </c>
      <c r="PN17" s="12">
        <f t="shared" si="176"/>
        <v>0</v>
      </c>
      <c r="PO17" s="12">
        <f t="shared" si="177"/>
        <v>0</v>
      </c>
      <c r="PP17" s="16">
        <f t="shared" si="178"/>
        <v>0</v>
      </c>
      <c r="PQ17" s="59">
        <f t="shared" si="150"/>
        <v>0</v>
      </c>
      <c r="PS17" s="884">
        <f t="shared" si="151"/>
        <v>0</v>
      </c>
    </row>
    <row r="18" spans="2:435" x14ac:dyDescent="0.2">
      <c r="B18" s="24">
        <v>12</v>
      </c>
      <c r="C18" s="25" t="s">
        <v>210</v>
      </c>
      <c r="D18" s="26"/>
      <c r="E18" s="42"/>
      <c r="F18" s="31"/>
      <c r="G18" s="12"/>
      <c r="H18" s="12"/>
      <c r="I18" s="12"/>
      <c r="J18" s="12"/>
      <c r="K18" s="12"/>
      <c r="L18" s="15"/>
      <c r="M18" s="61">
        <f>E18-F18-G18-H18-I18-J18-K18-L18</f>
        <v>0</v>
      </c>
      <c r="N18" s="31">
        <f t="shared" ref="N18:T18" si="213">IF($E18&lt;&gt;0,F18*$D18/$E18,0)</f>
        <v>0</v>
      </c>
      <c r="O18" s="12">
        <f t="shared" si="213"/>
        <v>0</v>
      </c>
      <c r="P18" s="12">
        <f t="shared" si="213"/>
        <v>0</v>
      </c>
      <c r="Q18" s="12">
        <f t="shared" si="213"/>
        <v>0</v>
      </c>
      <c r="R18" s="12">
        <f t="shared" si="213"/>
        <v>0</v>
      </c>
      <c r="S18" s="12">
        <f t="shared" si="213"/>
        <v>0</v>
      </c>
      <c r="T18" s="15">
        <f t="shared" si="213"/>
        <v>0</v>
      </c>
      <c r="U18" s="59">
        <f>D18-N18-O18-P18-Q18-R18-S18-T18</f>
        <v>0</v>
      </c>
      <c r="V18" s="26"/>
      <c r="W18" s="42"/>
      <c r="X18" s="31"/>
      <c r="Y18" s="12"/>
      <c r="Z18" s="12"/>
      <c r="AA18" s="12"/>
      <c r="AB18" s="12"/>
      <c r="AC18" s="12"/>
      <c r="AD18" s="15"/>
      <c r="AE18" s="15"/>
      <c r="AF18" s="61">
        <f>W18-X18-Y18-Z18-AA18-AB18-AC18-AD18-AE18</f>
        <v>0</v>
      </c>
      <c r="AG18" s="35">
        <f t="shared" ref="AG18:AN18" si="214">IF($W18&lt;&gt;0,X18*$V18/$W18,0)</f>
        <v>0</v>
      </c>
      <c r="AH18" s="35">
        <f t="shared" si="214"/>
        <v>0</v>
      </c>
      <c r="AI18" s="35">
        <f t="shared" si="214"/>
        <v>0</v>
      </c>
      <c r="AJ18" s="35">
        <f t="shared" si="214"/>
        <v>0</v>
      </c>
      <c r="AK18" s="35">
        <f t="shared" si="214"/>
        <v>0</v>
      </c>
      <c r="AL18" s="35">
        <f t="shared" si="214"/>
        <v>0</v>
      </c>
      <c r="AM18" s="35">
        <f t="shared" si="214"/>
        <v>0</v>
      </c>
      <c r="AN18" s="35">
        <f t="shared" si="214"/>
        <v>0</v>
      </c>
      <c r="AO18" s="62">
        <f>V18-AG18-AH18-AI18-AJ18-AK18-AL18-AM18-AN18</f>
        <v>0</v>
      </c>
      <c r="AP18" s="26"/>
      <c r="AQ18" s="42"/>
      <c r="AR18" s="12"/>
      <c r="AS18" s="12"/>
      <c r="AT18" s="12"/>
      <c r="AU18" s="12"/>
      <c r="AV18" s="15"/>
      <c r="AW18" s="15"/>
      <c r="AX18" s="61">
        <f>AQ18-AR18-AS18-AT18-AU18-AV18-AW18</f>
        <v>0</v>
      </c>
      <c r="AY18" s="35">
        <f t="shared" ref="AY18:BD18" si="215">IF($AQ18&lt;&gt;0,AR18*$AP18/$AQ18,0)</f>
        <v>0</v>
      </c>
      <c r="AZ18" s="35">
        <f t="shared" si="215"/>
        <v>0</v>
      </c>
      <c r="BA18" s="35">
        <f t="shared" si="215"/>
        <v>0</v>
      </c>
      <c r="BB18" s="35">
        <f t="shared" si="215"/>
        <v>0</v>
      </c>
      <c r="BC18" s="35">
        <f t="shared" si="215"/>
        <v>0</v>
      </c>
      <c r="BD18" s="34">
        <f t="shared" si="215"/>
        <v>0</v>
      </c>
      <c r="BE18" s="59">
        <f>AP18-AY18-AZ18-BA18-BB18-BC18-BD18</f>
        <v>0</v>
      </c>
      <c r="BF18" s="26"/>
      <c r="BG18" s="42"/>
      <c r="BH18" s="12"/>
      <c r="BI18" s="12"/>
      <c r="BJ18" s="12"/>
      <c r="BK18" s="12"/>
      <c r="BL18" s="15"/>
      <c r="BM18" s="15"/>
      <c r="BN18" s="15"/>
      <c r="BO18" s="61">
        <f>BG18-BH18-BI18-BJ18-BK18-BL18-BM18-BN18</f>
        <v>0</v>
      </c>
      <c r="BP18" s="65">
        <f t="shared" ref="BP18:BV18" si="216">IF($BG18&lt;&gt;0,BH18*$BF18/$BG18,0)</f>
        <v>0</v>
      </c>
      <c r="BQ18" s="33">
        <f t="shared" si="216"/>
        <v>0</v>
      </c>
      <c r="BR18" s="33">
        <f t="shared" si="216"/>
        <v>0</v>
      </c>
      <c r="BS18" s="33">
        <f t="shared" si="216"/>
        <v>0</v>
      </c>
      <c r="BT18" s="33">
        <f t="shared" si="216"/>
        <v>0</v>
      </c>
      <c r="BU18" s="33">
        <f t="shared" si="216"/>
        <v>0</v>
      </c>
      <c r="BV18" s="34">
        <f t="shared" si="216"/>
        <v>0</v>
      </c>
      <c r="BW18" s="59">
        <f>BF18-BP18-BQ18-BR18-BS18-BT18-BU18-BV18</f>
        <v>0</v>
      </c>
      <c r="BX18" s="26"/>
      <c r="BY18" s="68"/>
      <c r="BZ18" s="31"/>
      <c r="CA18" s="12"/>
      <c r="CB18" s="12"/>
      <c r="CC18" s="12"/>
      <c r="CD18" s="15"/>
      <c r="CE18" s="15"/>
      <c r="CF18" s="15"/>
      <c r="CG18" s="61">
        <f>BY18-BZ18-CA18-CB18-CC18-CD18-CE18-CF18</f>
        <v>0</v>
      </c>
      <c r="CH18" s="66">
        <f t="shared" ref="CH18:CN18" si="217">IF($BY18&lt;&gt;0,BZ18*$BX18/$BY18,0)</f>
        <v>0</v>
      </c>
      <c r="CI18" s="12">
        <f t="shared" si="217"/>
        <v>0</v>
      </c>
      <c r="CJ18" s="12">
        <f t="shared" si="217"/>
        <v>0</v>
      </c>
      <c r="CK18" s="12">
        <f t="shared" si="217"/>
        <v>0</v>
      </c>
      <c r="CL18" s="12">
        <f t="shared" si="217"/>
        <v>0</v>
      </c>
      <c r="CM18" s="12">
        <f t="shared" si="217"/>
        <v>0</v>
      </c>
      <c r="CN18" s="16">
        <f t="shared" si="217"/>
        <v>0</v>
      </c>
      <c r="CO18" s="59">
        <f>BX18-CH18-CI18-CJ18-CK18-CL18-CM18-CN18</f>
        <v>0</v>
      </c>
      <c r="CP18" s="69">
        <v>27500</v>
      </c>
      <c r="CQ18" s="68">
        <v>1</v>
      </c>
      <c r="CR18" s="12"/>
      <c r="CS18" s="12"/>
      <c r="CT18" s="12"/>
      <c r="CU18" s="12"/>
      <c r="CV18" s="15"/>
      <c r="CW18" s="15"/>
      <c r="CX18" s="15">
        <v>1</v>
      </c>
      <c r="CY18" s="61">
        <f>CQ18-CR18-CS18-CT18-CU18-CV18-CW18-CX18</f>
        <v>0</v>
      </c>
      <c r="CZ18" s="66">
        <f t="shared" ref="CZ18:DF18" si="218">IF($CQ18&lt;&gt;0,CR18*$CP18/$CQ18,0)</f>
        <v>0</v>
      </c>
      <c r="DA18" s="12">
        <f t="shared" si="218"/>
        <v>0</v>
      </c>
      <c r="DB18" s="12">
        <f t="shared" si="218"/>
        <v>0</v>
      </c>
      <c r="DC18" s="12">
        <f t="shared" si="218"/>
        <v>0</v>
      </c>
      <c r="DD18" s="12">
        <f t="shared" si="218"/>
        <v>0</v>
      </c>
      <c r="DE18" s="12">
        <f t="shared" si="218"/>
        <v>0</v>
      </c>
      <c r="DF18" s="16">
        <f t="shared" si="218"/>
        <v>27500</v>
      </c>
      <c r="DG18" s="59">
        <f>CP18-CZ18-DA18-DB18-DC18-DD18-DE18-DF18</f>
        <v>0</v>
      </c>
      <c r="DH18" s="69">
        <v>27500</v>
      </c>
      <c r="DI18" s="68">
        <v>1</v>
      </c>
      <c r="DJ18" s="12"/>
      <c r="DK18" s="12"/>
      <c r="DL18" s="12"/>
      <c r="DM18" s="12"/>
      <c r="DN18" s="15"/>
      <c r="DO18" s="15"/>
      <c r="DP18" s="15">
        <v>1</v>
      </c>
      <c r="DQ18" s="61">
        <f>DI18-DJ18-DK18-DL18-DM18-DN18-DO18-DP18</f>
        <v>0</v>
      </c>
      <c r="DR18" s="66">
        <f t="shared" ref="DR18:DX18" si="219">IF($DI18&lt;&gt;0,DJ18*$DH18/$DI18,0)</f>
        <v>0</v>
      </c>
      <c r="DS18" s="12">
        <f t="shared" si="219"/>
        <v>0</v>
      </c>
      <c r="DT18" s="12">
        <f t="shared" si="219"/>
        <v>0</v>
      </c>
      <c r="DU18" s="12">
        <f t="shared" si="219"/>
        <v>0</v>
      </c>
      <c r="DV18" s="12">
        <f t="shared" si="219"/>
        <v>0</v>
      </c>
      <c r="DW18" s="12">
        <f t="shared" si="219"/>
        <v>0</v>
      </c>
      <c r="DX18" s="16">
        <f t="shared" si="219"/>
        <v>27500</v>
      </c>
      <c r="DY18" s="59">
        <f>DH18-DR18-DS18-DT18-DU18-DV18-DW18-DX18</f>
        <v>0</v>
      </c>
      <c r="DZ18" s="69">
        <v>27500</v>
      </c>
      <c r="EA18" s="68">
        <v>1</v>
      </c>
      <c r="EB18" s="12"/>
      <c r="EC18" s="12"/>
      <c r="ED18" s="12"/>
      <c r="EE18" s="15"/>
      <c r="EF18" s="15"/>
      <c r="EG18" s="15">
        <v>1</v>
      </c>
      <c r="EH18" s="61">
        <f>EA18-EB18-EC18-ED18-EE18-EF18-EG18</f>
        <v>0</v>
      </c>
      <c r="EI18" s="66">
        <f t="shared" ref="EI18:EN18" si="220">IF($EA18&lt;&gt;0,EB18*$DZ18/$EA18,0)</f>
        <v>0</v>
      </c>
      <c r="EJ18" s="12">
        <f t="shared" si="220"/>
        <v>0</v>
      </c>
      <c r="EK18" s="12">
        <f t="shared" si="220"/>
        <v>0</v>
      </c>
      <c r="EL18" s="12">
        <f t="shared" si="220"/>
        <v>0</v>
      </c>
      <c r="EM18" s="12">
        <f t="shared" si="220"/>
        <v>0</v>
      </c>
      <c r="EN18" s="16">
        <f t="shared" si="220"/>
        <v>27500</v>
      </c>
      <c r="EO18" s="59">
        <f>DZ18-EI18-EJ18-EK18-EL18-EM18-EN18</f>
        <v>0</v>
      </c>
      <c r="EP18" s="69">
        <v>27500</v>
      </c>
      <c r="EQ18" s="68">
        <v>1</v>
      </c>
      <c r="ER18" s="12"/>
      <c r="ES18" s="12"/>
      <c r="ET18" s="15"/>
      <c r="EU18" s="15">
        <v>1</v>
      </c>
      <c r="EV18" s="61">
        <f>EQ18-ER18-ES18-ET18-EU18</f>
        <v>0</v>
      </c>
      <c r="EW18" s="66">
        <f>IF($EQ18&lt;&gt;0,ER18*$EP18/$EQ18,0)</f>
        <v>0</v>
      </c>
      <c r="EX18" s="12">
        <f>IF($EQ18&lt;&gt;0,ES18*$EP18/$EQ18,0)</f>
        <v>0</v>
      </c>
      <c r="EY18" s="12">
        <f>IF($EQ18&lt;&gt;0,ET18*$EP18/$EQ18,0)</f>
        <v>0</v>
      </c>
      <c r="EZ18" s="16">
        <f>IF($EQ18&lt;&gt;0,EU18*$EP18/$EQ18,0)</f>
        <v>27500</v>
      </c>
      <c r="FA18" s="59">
        <f>EP18-EW18-EX18-EY18-EZ18</f>
        <v>0</v>
      </c>
      <c r="FB18" s="69">
        <v>27500</v>
      </c>
      <c r="FC18" s="68">
        <v>1</v>
      </c>
      <c r="FD18" s="12"/>
      <c r="FE18" s="15"/>
      <c r="FF18" s="15">
        <v>1</v>
      </c>
      <c r="FG18" s="61">
        <f>FC18-FD18-FE18-FF18</f>
        <v>0</v>
      </c>
      <c r="FH18" s="66">
        <f>IF($FC18&lt;&gt;0,FD18*$FB18/$FC18,0)</f>
        <v>0</v>
      </c>
      <c r="FI18" s="12">
        <f>IF($FC18&lt;&gt;0,FE18*$FB18/$FC18,0)</f>
        <v>0</v>
      </c>
      <c r="FJ18" s="16">
        <f>IF($FC18&lt;&gt;0,FF18*$FB18/$FC18,0)</f>
        <v>27500</v>
      </c>
      <c r="FK18" s="59">
        <f>FB18-FH18-FI18-FJ18</f>
        <v>0</v>
      </c>
      <c r="FL18" s="69">
        <v>27500</v>
      </c>
      <c r="FM18" s="68">
        <v>1</v>
      </c>
      <c r="FN18" s="12"/>
      <c r="FO18" s="15"/>
      <c r="FP18" s="15"/>
      <c r="FQ18" s="15"/>
      <c r="FR18" s="15">
        <v>1</v>
      </c>
      <c r="FS18" s="61">
        <f>FM18-FN18-FO18-FR18-FP18-FQ18</f>
        <v>0</v>
      </c>
      <c r="FT18" s="66">
        <f>IF($FM18&lt;&gt;0,FN18*$FL18/$FM18,0)</f>
        <v>0</v>
      </c>
      <c r="FU18" s="12">
        <f>IF($FM18&lt;&gt;0,FO18*$FL18/$FM18,0)</f>
        <v>0</v>
      </c>
      <c r="FV18" s="12">
        <f>IF($FM18&lt;&gt;0,FP18*$FL18/$FM18,0)</f>
        <v>0</v>
      </c>
      <c r="FW18" s="12">
        <f>IF($FM18&lt;&gt;0,FQ18*$FL18/$FM18,0)</f>
        <v>0</v>
      </c>
      <c r="FX18" s="16">
        <f>IF($FM18&lt;&gt;0,FR18*$FL18/$FM18,0)</f>
        <v>27500</v>
      </c>
      <c r="FY18" s="59">
        <f>FL18-FT18-FU18-FX18-FV18-FW18</f>
        <v>0</v>
      </c>
      <c r="FZ18" s="69">
        <v>27500</v>
      </c>
      <c r="GA18" s="68">
        <v>1</v>
      </c>
      <c r="GB18" s="12">
        <v>1</v>
      </c>
      <c r="GC18" s="15"/>
      <c r="GD18" s="15"/>
      <c r="GE18" s="15"/>
      <c r="GF18" s="61">
        <f>GA18-GB18-GC18-GD18-GE18</f>
        <v>0</v>
      </c>
      <c r="GG18" s="66">
        <f>IF($GA18&lt;&gt;0,GB18*$FZ18/$GA18,0)</f>
        <v>27500</v>
      </c>
      <c r="GH18" s="66">
        <f>IF($GA18&lt;&gt;0,GB18*$FZ18/$GA18,0)</f>
        <v>27500</v>
      </c>
      <c r="GI18" s="12">
        <f>IF($GA18&lt;&gt;0,GC18*$FZ18/$GA18,0)</f>
        <v>0</v>
      </c>
      <c r="GJ18" s="12">
        <f>IF($GA18&lt;&gt;0,GC18*$FZ18/$GA18,0)</f>
        <v>0</v>
      </c>
      <c r="GK18" s="31">
        <f>IF($GA18&lt;&gt;0,GD18*$FZ18/$GA18,0)</f>
        <v>0</v>
      </c>
      <c r="GL18" s="123">
        <f>IF($GA18&lt;&gt;0,GE18*$FZ18/$GA18,0)</f>
        <v>0</v>
      </c>
      <c r="GM18" s="410">
        <f>FZ18-GG18-GI18-GK18-GL18</f>
        <v>0</v>
      </c>
      <c r="GN18" s="414">
        <f>13750+13095.18</f>
        <v>26845.18</v>
      </c>
      <c r="GO18" s="68">
        <v>1</v>
      </c>
      <c r="GP18" s="12"/>
      <c r="GQ18" s="15"/>
      <c r="GR18" s="15">
        <v>0.5</v>
      </c>
      <c r="GS18" s="15"/>
      <c r="GT18" s="15">
        <v>0.5</v>
      </c>
      <c r="GU18" s="61">
        <f>GO18-GP18-GQ18-GR18-GS18-GT18</f>
        <v>0</v>
      </c>
      <c r="GV18" s="66">
        <f>IF($GO18&lt;&gt;0,GP18*$GN18/$GO18,0)</f>
        <v>0</v>
      </c>
      <c r="GW18" s="12">
        <f>IF($GO18&lt;&gt;0,GQ18*$GN18/$GO18,0)</f>
        <v>0</v>
      </c>
      <c r="GX18" s="12">
        <f>IF($GO18&lt;&gt;0,GR18*$GN18/$GO18,0)</f>
        <v>13422.59</v>
      </c>
      <c r="GY18" s="12">
        <f>IF($GO18&lt;&gt;0,GS18*$GN18/$GO18,0)</f>
        <v>0</v>
      </c>
      <c r="GZ18" s="16">
        <f>IF($GO18&lt;&gt;0,GT18*$GN18/$GO18,0)</f>
        <v>13422.59</v>
      </c>
      <c r="HA18" s="59">
        <f>GN18-GV18-GW18-GX18-GY18-GZ18</f>
        <v>0</v>
      </c>
      <c r="HB18" s="69">
        <v>29700</v>
      </c>
      <c r="HC18" s="68">
        <v>1</v>
      </c>
      <c r="HD18" s="12"/>
      <c r="HE18" s="15"/>
      <c r="HF18" s="15">
        <v>0.35</v>
      </c>
      <c r="HG18" s="15">
        <v>0.35</v>
      </c>
      <c r="HH18" s="15">
        <v>0.3</v>
      </c>
      <c r="HI18" s="15"/>
      <c r="HJ18" s="15"/>
      <c r="HK18" s="15"/>
      <c r="HL18" s="61">
        <f>HC18-HD18-HE18-HF18-HG18-HH18-HI18-HJ18-HK18</f>
        <v>0</v>
      </c>
      <c r="HM18" s="66">
        <f t="shared" ref="HM18:HT18" si="221">IF($HC18&lt;&gt;0,HD18*$HB18/$HC18,0)</f>
        <v>0</v>
      </c>
      <c r="HN18" s="12">
        <f t="shared" si="221"/>
        <v>0</v>
      </c>
      <c r="HO18" s="12">
        <f t="shared" si="221"/>
        <v>10395</v>
      </c>
      <c r="HP18" s="12">
        <f t="shared" si="221"/>
        <v>10395</v>
      </c>
      <c r="HQ18" s="12">
        <f t="shared" si="221"/>
        <v>8910</v>
      </c>
      <c r="HR18" s="12">
        <f t="shared" si="221"/>
        <v>0</v>
      </c>
      <c r="HS18" s="12">
        <f t="shared" si="221"/>
        <v>0</v>
      </c>
      <c r="HT18" s="16">
        <f t="shared" si="221"/>
        <v>0</v>
      </c>
      <c r="HU18" s="59">
        <f>HB18-HM18-HN18-HO18-HP18-HQ18-HR18-HS18-HT18</f>
        <v>0</v>
      </c>
      <c r="HV18" s="69">
        <f>27500</f>
        <v>27500</v>
      </c>
      <c r="HW18" s="68">
        <v>1</v>
      </c>
      <c r="HX18" s="12"/>
      <c r="HY18" s="15"/>
      <c r="HZ18" s="61">
        <f>HW18-HX18-HY18</f>
        <v>1</v>
      </c>
      <c r="IA18" s="66">
        <f>IF($HW18&lt;&gt;0,HX18*$HV18/$HW18,0)</f>
        <v>0</v>
      </c>
      <c r="IB18" s="16">
        <f>IF($HW18&lt;&gt;0,HY18*$HV18/$HW18,0)</f>
        <v>0</v>
      </c>
      <c r="IC18" s="59">
        <f>HV18-IA18-IB18</f>
        <v>27500</v>
      </c>
      <c r="ID18" s="129">
        <v>33000</v>
      </c>
      <c r="IE18" s="68">
        <v>1</v>
      </c>
      <c r="IF18" s="12"/>
      <c r="IG18" s="15"/>
      <c r="IH18" s="15">
        <v>0.2</v>
      </c>
      <c r="II18" s="15">
        <v>0.2</v>
      </c>
      <c r="IJ18" s="15">
        <v>0.6</v>
      </c>
      <c r="IK18" s="15"/>
      <c r="IL18" s="15"/>
      <c r="IM18" s="15"/>
      <c r="IN18" s="15"/>
      <c r="IO18" s="61">
        <f>IE18-IF18-IG18-IH18-II18-IJ18-IK18-IL18-IM18-IN18</f>
        <v>0</v>
      </c>
      <c r="IP18" s="66">
        <f t="shared" ref="IP18:IX18" si="222">IF($IE18&lt;&gt;0,IF18*$ID18/$IE18,0)</f>
        <v>0</v>
      </c>
      <c r="IQ18" s="12">
        <f t="shared" si="222"/>
        <v>0</v>
      </c>
      <c r="IR18" s="12">
        <f t="shared" si="222"/>
        <v>6600</v>
      </c>
      <c r="IS18" s="12">
        <f t="shared" si="222"/>
        <v>6600</v>
      </c>
      <c r="IT18" s="12">
        <f t="shared" si="222"/>
        <v>19800</v>
      </c>
      <c r="IU18" s="12">
        <f t="shared" si="222"/>
        <v>0</v>
      </c>
      <c r="IV18" s="12">
        <f t="shared" si="222"/>
        <v>0</v>
      </c>
      <c r="IW18" s="15">
        <f t="shared" si="222"/>
        <v>0</v>
      </c>
      <c r="IX18" s="16">
        <f t="shared" si="222"/>
        <v>0</v>
      </c>
      <c r="IY18" s="59">
        <f>ID18-IP18-IQ18-IR18-IS18-IT18-IU18-IV18-IW18-IX18</f>
        <v>0</v>
      </c>
      <c r="IZ18" s="129">
        <v>33000</v>
      </c>
      <c r="JA18" s="68">
        <v>1</v>
      </c>
      <c r="JB18" s="12"/>
      <c r="JC18" s="15"/>
      <c r="JD18" s="15"/>
      <c r="JE18" s="15">
        <v>0.25</v>
      </c>
      <c r="JF18" s="15">
        <v>0.5</v>
      </c>
      <c r="JG18" s="15"/>
      <c r="JH18" s="15"/>
      <c r="JI18" s="15">
        <v>0.1</v>
      </c>
      <c r="JJ18" s="15">
        <v>0.15</v>
      </c>
      <c r="JK18" s="61">
        <f>JA18-JB18-JC18-JD18-JE18-JF18-JG18-JH18-JI18-JJ18</f>
        <v>0</v>
      </c>
      <c r="JL18" s="66">
        <f t="shared" ref="JL18:JT18" si="223">IF($JA18&lt;&gt;0,JB18*$IZ18/$JA18,0)</f>
        <v>0</v>
      </c>
      <c r="JM18" s="12">
        <f t="shared" si="223"/>
        <v>0</v>
      </c>
      <c r="JN18" s="12">
        <f t="shared" si="223"/>
        <v>0</v>
      </c>
      <c r="JO18" s="12">
        <f t="shared" si="223"/>
        <v>8250</v>
      </c>
      <c r="JP18" s="12">
        <f t="shared" si="223"/>
        <v>16500</v>
      </c>
      <c r="JQ18" s="12">
        <f t="shared" si="223"/>
        <v>0</v>
      </c>
      <c r="JR18" s="12">
        <f t="shared" si="223"/>
        <v>0</v>
      </c>
      <c r="JS18" s="12">
        <f t="shared" si="223"/>
        <v>3300</v>
      </c>
      <c r="JT18" s="16">
        <f t="shared" si="223"/>
        <v>4950</v>
      </c>
      <c r="JU18" s="59">
        <f>IZ18-JL18-JM18-JN18-JO18-JP18-JQ18-JR18-JS18-JT18</f>
        <v>0</v>
      </c>
      <c r="JV18" s="129">
        <v>33000</v>
      </c>
      <c r="JW18" s="68">
        <v>1</v>
      </c>
      <c r="JX18" s="12"/>
      <c r="JY18" s="12"/>
      <c r="JZ18" s="15">
        <v>0.25</v>
      </c>
      <c r="KA18" s="15">
        <v>0.25</v>
      </c>
      <c r="KB18" s="15">
        <v>0.5</v>
      </c>
      <c r="KC18" s="15"/>
      <c r="KD18" s="15"/>
      <c r="KE18" s="15"/>
      <c r="KF18" s="15"/>
      <c r="KG18" s="61">
        <f>JW18-JX18-JZ18-KA18-KB18-KC18-KD18-KE18-KF18-JY18</f>
        <v>0</v>
      </c>
      <c r="KH18" s="146">
        <f t="shared" ref="KH18:KP18" si="224">IF($JW18&lt;&gt;0,JX18*$JV18/$JW18,0)</f>
        <v>0</v>
      </c>
      <c r="KI18" s="12">
        <f t="shared" si="224"/>
        <v>0</v>
      </c>
      <c r="KJ18" s="12">
        <f t="shared" si="224"/>
        <v>8250</v>
      </c>
      <c r="KK18" s="12">
        <f t="shared" si="224"/>
        <v>8250</v>
      </c>
      <c r="KL18" s="12">
        <f t="shared" si="224"/>
        <v>16500</v>
      </c>
      <c r="KM18" s="12">
        <f t="shared" si="224"/>
        <v>0</v>
      </c>
      <c r="KN18" s="12">
        <f t="shared" si="224"/>
        <v>0</v>
      </c>
      <c r="KO18" s="12">
        <f t="shared" si="224"/>
        <v>0</v>
      </c>
      <c r="KP18" s="16">
        <f t="shared" si="224"/>
        <v>0</v>
      </c>
      <c r="KQ18" s="59">
        <f>JV18-KH18-KJ18-KK18-KL18-KM18-KN18-KO18-KP18-KI18</f>
        <v>0</v>
      </c>
      <c r="KR18" s="129">
        <v>31319.200000000001</v>
      </c>
      <c r="KS18" s="68">
        <v>1</v>
      </c>
      <c r="KT18" s="12"/>
      <c r="KU18" s="15">
        <v>0.25</v>
      </c>
      <c r="KV18" s="15">
        <v>0.5</v>
      </c>
      <c r="KW18" s="15">
        <v>0.25</v>
      </c>
      <c r="KX18" s="15"/>
      <c r="KY18" s="15"/>
      <c r="KZ18" s="15"/>
      <c r="LA18" s="15"/>
      <c r="LB18" s="61">
        <f>KS18-KT18-KU18-KV18-KW18-KX18-KY18-KZ18-LA18</f>
        <v>0</v>
      </c>
      <c r="LC18" s="66">
        <f t="shared" ref="LC18:LJ18" si="225">IF($KS18&lt;&gt;0,KT18*$KR18/$KS18,0)</f>
        <v>0</v>
      </c>
      <c r="LD18" s="12">
        <f t="shared" si="225"/>
        <v>7829.8</v>
      </c>
      <c r="LE18" s="12">
        <f t="shared" si="225"/>
        <v>15659.6</v>
      </c>
      <c r="LF18" s="12">
        <f t="shared" si="225"/>
        <v>7829.8</v>
      </c>
      <c r="LG18" s="12">
        <f t="shared" si="225"/>
        <v>0</v>
      </c>
      <c r="LH18" s="12">
        <f t="shared" si="225"/>
        <v>0</v>
      </c>
      <c r="LI18" s="12">
        <f t="shared" si="225"/>
        <v>0</v>
      </c>
      <c r="LJ18" s="16">
        <f t="shared" si="225"/>
        <v>0</v>
      </c>
      <c r="LK18" s="59">
        <f>KR18-LC18-LD18-LE18-LF18-LG18-LH18-LI18-LJ18</f>
        <v>0</v>
      </c>
      <c r="LL18" s="129">
        <v>33000</v>
      </c>
      <c r="LM18" s="68">
        <v>1</v>
      </c>
      <c r="LN18" s="15">
        <v>0.35</v>
      </c>
      <c r="LO18" s="15">
        <v>0.25</v>
      </c>
      <c r="LP18" s="15">
        <v>0.4</v>
      </c>
      <c r="LQ18" s="15"/>
      <c r="LR18" s="15"/>
      <c r="LS18" s="15"/>
      <c r="LT18" s="15"/>
      <c r="LU18" s="61">
        <f>LM18-LN18-LO18-LP18-LQ18-LR18-LS18-LT18</f>
        <v>0</v>
      </c>
      <c r="LV18" s="66">
        <f t="shared" ref="LV18:MB18" si="226">IF($LM18&lt;&gt;0,LN18*$LL18/$LM18,0)</f>
        <v>11550</v>
      </c>
      <c r="LW18" s="12">
        <f t="shared" si="226"/>
        <v>8250</v>
      </c>
      <c r="LX18" s="12">
        <f t="shared" si="226"/>
        <v>13200</v>
      </c>
      <c r="LY18" s="12">
        <f t="shared" si="226"/>
        <v>0</v>
      </c>
      <c r="LZ18" s="12">
        <f t="shared" si="226"/>
        <v>0</v>
      </c>
      <c r="MA18" s="12">
        <f t="shared" si="226"/>
        <v>0</v>
      </c>
      <c r="MB18" s="16">
        <f t="shared" si="226"/>
        <v>0</v>
      </c>
      <c r="MC18" s="59">
        <f>LL18-LV18-LW18-LX18-LY18-LZ18-MA18-MB18</f>
        <v>0</v>
      </c>
      <c r="MD18" s="129">
        <v>33000</v>
      </c>
      <c r="ME18" s="68">
        <v>1</v>
      </c>
      <c r="MF18" s="15">
        <v>0.4</v>
      </c>
      <c r="MG18" s="15">
        <v>0.55000000000000004</v>
      </c>
      <c r="MH18" s="15"/>
      <c r="MI18" s="15"/>
      <c r="MJ18" s="15"/>
      <c r="MK18" s="15"/>
      <c r="ML18" s="15">
        <v>0.05</v>
      </c>
      <c r="MM18" s="61">
        <f t="shared" si="111"/>
        <v>0</v>
      </c>
      <c r="MN18" s="66">
        <f t="shared" ref="MN18:MT18" si="227">IF($ME18&lt;&gt;0,MF18*$MD18/$ME18,0)</f>
        <v>13200</v>
      </c>
      <c r="MO18" s="12">
        <f t="shared" si="227"/>
        <v>18150</v>
      </c>
      <c r="MP18" s="12">
        <f t="shared" si="227"/>
        <v>0</v>
      </c>
      <c r="MQ18" s="12">
        <f t="shared" si="227"/>
        <v>0</v>
      </c>
      <c r="MR18" s="12">
        <f t="shared" si="227"/>
        <v>0</v>
      </c>
      <c r="MS18" s="12">
        <f t="shared" si="227"/>
        <v>0</v>
      </c>
      <c r="MT18" s="16">
        <f t="shared" si="227"/>
        <v>1650</v>
      </c>
      <c r="MU18" s="59">
        <f t="shared" si="189"/>
        <v>0</v>
      </c>
      <c r="MV18" s="617">
        <v>30143.599999999999</v>
      </c>
      <c r="MW18" s="619">
        <v>1</v>
      </c>
      <c r="MX18" s="15"/>
      <c r="MY18" s="15">
        <v>0.5</v>
      </c>
      <c r="MZ18" s="15"/>
      <c r="NA18" s="15"/>
      <c r="NB18" s="15"/>
      <c r="NC18" s="15"/>
      <c r="ND18" s="15"/>
      <c r="NE18" s="61">
        <f t="shared" si="118"/>
        <v>0.5</v>
      </c>
      <c r="NF18" s="66">
        <f t="shared" ref="NF18:NL19" si="228">IF($MW18&lt;&gt;0,MX18*$MV18/$MW18,0)</f>
        <v>0</v>
      </c>
      <c r="NG18" s="12">
        <f t="shared" si="228"/>
        <v>15071.8</v>
      </c>
      <c r="NH18" s="12">
        <f t="shared" si="228"/>
        <v>0</v>
      </c>
      <c r="NI18" s="12">
        <f t="shared" si="228"/>
        <v>0</v>
      </c>
      <c r="NJ18" s="12">
        <f t="shared" si="228"/>
        <v>0</v>
      </c>
      <c r="NK18" s="12">
        <f t="shared" si="228"/>
        <v>0</v>
      </c>
      <c r="NL18" s="16">
        <f t="shared" si="228"/>
        <v>0</v>
      </c>
      <c r="NM18" s="59">
        <f t="shared" si="125"/>
        <v>15071.8</v>
      </c>
      <c r="NN18" s="617">
        <v>33000</v>
      </c>
      <c r="NO18" s="619">
        <v>1</v>
      </c>
      <c r="NP18" s="15"/>
      <c r="NQ18" s="15"/>
      <c r="NR18" s="15"/>
      <c r="NS18" s="15"/>
      <c r="NT18" s="15"/>
      <c r="NU18" s="61">
        <f t="shared" si="126"/>
        <v>1</v>
      </c>
      <c r="NV18" s="66">
        <f t="shared" si="190"/>
        <v>0</v>
      </c>
      <c r="NW18" s="12">
        <f t="shared" si="209"/>
        <v>0</v>
      </c>
      <c r="NX18" s="12">
        <f t="shared" si="210"/>
        <v>0</v>
      </c>
      <c r="NY18" s="12">
        <f t="shared" si="211"/>
        <v>0</v>
      </c>
      <c r="NZ18" s="16">
        <f t="shared" si="212"/>
        <v>0</v>
      </c>
      <c r="OA18" s="59">
        <f t="shared" si="131"/>
        <v>33000</v>
      </c>
      <c r="OB18" s="131">
        <v>33000</v>
      </c>
      <c r="OC18" s="133">
        <v>1</v>
      </c>
      <c r="OD18" s="15"/>
      <c r="OE18" s="15"/>
      <c r="OF18" s="15"/>
      <c r="OG18" s="15"/>
      <c r="OH18" s="15"/>
      <c r="OI18" s="61">
        <f t="shared" si="163"/>
        <v>1</v>
      </c>
      <c r="OJ18" s="66">
        <f t="shared" si="132"/>
        <v>0</v>
      </c>
      <c r="OK18" s="12">
        <f t="shared" si="133"/>
        <v>0</v>
      </c>
      <c r="OL18" s="12">
        <f t="shared" si="134"/>
        <v>0</v>
      </c>
      <c r="OM18" s="12">
        <f t="shared" si="135"/>
        <v>0</v>
      </c>
      <c r="ON18" s="16">
        <f t="shared" si="136"/>
        <v>0</v>
      </c>
      <c r="OO18" s="59">
        <f t="shared" si="137"/>
        <v>33000</v>
      </c>
      <c r="OP18" s="131">
        <v>33000</v>
      </c>
      <c r="OQ18" s="133">
        <v>1</v>
      </c>
      <c r="OR18" s="15"/>
      <c r="OS18" s="15"/>
      <c r="OT18" s="15"/>
      <c r="OU18" s="15"/>
      <c r="OV18" s="15"/>
      <c r="OW18" s="61">
        <f t="shared" si="138"/>
        <v>1</v>
      </c>
      <c r="OX18" s="66">
        <f t="shared" si="139"/>
        <v>0</v>
      </c>
      <c r="OY18" s="12">
        <f t="shared" si="140"/>
        <v>0</v>
      </c>
      <c r="OZ18" s="12">
        <f t="shared" si="141"/>
        <v>0</v>
      </c>
      <c r="PA18" s="12">
        <f t="shared" si="142"/>
        <v>0</v>
      </c>
      <c r="PB18" s="16">
        <f t="shared" si="143"/>
        <v>0</v>
      </c>
      <c r="PC18" s="59">
        <f t="shared" si="144"/>
        <v>33000</v>
      </c>
      <c r="PD18" s="131">
        <v>33000</v>
      </c>
      <c r="PE18" s="133">
        <v>1</v>
      </c>
      <c r="PF18" s="15"/>
      <c r="PG18" s="15"/>
      <c r="PH18" s="15"/>
      <c r="PI18" s="15"/>
      <c r="PJ18" s="15">
        <v>0.3</v>
      </c>
      <c r="PK18" s="61">
        <f t="shared" si="145"/>
        <v>0.7</v>
      </c>
      <c r="PL18" s="66">
        <f t="shared" si="174"/>
        <v>0</v>
      </c>
      <c r="PM18" s="12">
        <f t="shared" si="175"/>
        <v>0</v>
      </c>
      <c r="PN18" s="12">
        <f t="shared" si="176"/>
        <v>0</v>
      </c>
      <c r="PO18" s="12">
        <f t="shared" si="177"/>
        <v>0</v>
      </c>
      <c r="PP18" s="16">
        <f t="shared" si="178"/>
        <v>9900</v>
      </c>
      <c r="PQ18" s="59">
        <f t="shared" si="150"/>
        <v>23100</v>
      </c>
      <c r="PS18" s="885">
        <f t="shared" si="151"/>
        <v>0.5</v>
      </c>
    </row>
    <row r="19" spans="2:435" x14ac:dyDescent="0.2">
      <c r="B19" s="24">
        <v>13</v>
      </c>
      <c r="C19" s="872" t="s">
        <v>288</v>
      </c>
      <c r="D19" s="26"/>
      <c r="E19" s="42"/>
      <c r="F19" s="31"/>
      <c r="G19" s="12"/>
      <c r="H19" s="12"/>
      <c r="I19" s="12"/>
      <c r="J19" s="12"/>
      <c r="K19" s="12"/>
      <c r="L19" s="15"/>
      <c r="M19" s="61"/>
      <c r="N19" s="31"/>
      <c r="O19" s="12"/>
      <c r="P19" s="12"/>
      <c r="Q19" s="12"/>
      <c r="R19" s="12"/>
      <c r="S19" s="12"/>
      <c r="T19" s="15"/>
      <c r="U19" s="59"/>
      <c r="V19" s="26"/>
      <c r="W19" s="42"/>
      <c r="X19" s="31"/>
      <c r="Y19" s="12"/>
      <c r="Z19" s="12"/>
      <c r="AA19" s="12"/>
      <c r="AB19" s="12"/>
      <c r="AC19" s="12"/>
      <c r="AD19" s="15"/>
      <c r="AE19" s="15"/>
      <c r="AF19" s="61"/>
      <c r="AG19" s="35"/>
      <c r="AH19" s="35"/>
      <c r="AI19" s="35"/>
      <c r="AJ19" s="35"/>
      <c r="AK19" s="35"/>
      <c r="AL19" s="35"/>
      <c r="AM19" s="35"/>
      <c r="AN19" s="35"/>
      <c r="AO19" s="62"/>
      <c r="AP19" s="26"/>
      <c r="AQ19" s="42"/>
      <c r="AR19" s="12"/>
      <c r="AS19" s="12"/>
      <c r="AT19" s="12"/>
      <c r="AU19" s="12"/>
      <c r="AV19" s="15"/>
      <c r="AW19" s="15"/>
      <c r="AX19" s="61"/>
      <c r="AY19" s="35"/>
      <c r="AZ19" s="35"/>
      <c r="BA19" s="35"/>
      <c r="BB19" s="35"/>
      <c r="BC19" s="35"/>
      <c r="BD19" s="34"/>
      <c r="BE19" s="59"/>
      <c r="BF19" s="26"/>
      <c r="BG19" s="42"/>
      <c r="BH19" s="12"/>
      <c r="BI19" s="12"/>
      <c r="BJ19" s="12"/>
      <c r="BK19" s="12"/>
      <c r="BL19" s="15"/>
      <c r="BM19" s="15"/>
      <c r="BN19" s="15"/>
      <c r="BO19" s="61"/>
      <c r="BP19" s="65"/>
      <c r="BQ19" s="33"/>
      <c r="BR19" s="33"/>
      <c r="BS19" s="33"/>
      <c r="BT19" s="33"/>
      <c r="BU19" s="33"/>
      <c r="BV19" s="34"/>
      <c r="BW19" s="59"/>
      <c r="BX19" s="27"/>
      <c r="BY19" s="68"/>
      <c r="BZ19" s="31"/>
      <c r="CA19" s="12"/>
      <c r="CB19" s="12"/>
      <c r="CC19" s="12"/>
      <c r="CD19" s="15"/>
      <c r="CE19" s="15"/>
      <c r="CF19" s="15"/>
      <c r="CG19" s="61"/>
      <c r="CH19" s="66"/>
      <c r="CI19" s="12"/>
      <c r="CJ19" s="12"/>
      <c r="CK19" s="12"/>
      <c r="CL19" s="12"/>
      <c r="CM19" s="12"/>
      <c r="CN19" s="16"/>
      <c r="CO19" s="59"/>
      <c r="CP19" s="69"/>
      <c r="CQ19" s="68"/>
      <c r="CR19" s="12"/>
      <c r="CS19" s="12"/>
      <c r="CT19" s="12"/>
      <c r="CU19" s="12"/>
      <c r="CV19" s="15"/>
      <c r="CW19" s="15"/>
      <c r="CX19" s="15"/>
      <c r="CY19" s="61"/>
      <c r="CZ19" s="66"/>
      <c r="DA19" s="12"/>
      <c r="DB19" s="12"/>
      <c r="DC19" s="12"/>
      <c r="DD19" s="12"/>
      <c r="DE19" s="12"/>
      <c r="DF19" s="16"/>
      <c r="DG19" s="59"/>
      <c r="DH19" s="69"/>
      <c r="DI19" s="68"/>
      <c r="DJ19" s="12"/>
      <c r="DK19" s="12"/>
      <c r="DL19" s="12"/>
      <c r="DM19" s="12"/>
      <c r="DN19" s="15"/>
      <c r="DO19" s="15"/>
      <c r="DP19" s="15"/>
      <c r="DQ19" s="61"/>
      <c r="DR19" s="66"/>
      <c r="DS19" s="12"/>
      <c r="DT19" s="12"/>
      <c r="DU19" s="12"/>
      <c r="DV19" s="12"/>
      <c r="DW19" s="12"/>
      <c r="DX19" s="16"/>
      <c r="DY19" s="59"/>
      <c r="DZ19" s="69"/>
      <c r="EA19" s="68"/>
      <c r="EB19" s="12"/>
      <c r="EC19" s="12"/>
      <c r="ED19" s="12"/>
      <c r="EE19" s="15"/>
      <c r="EF19" s="15"/>
      <c r="EG19" s="15"/>
      <c r="EH19" s="61"/>
      <c r="EI19" s="66"/>
      <c r="EJ19" s="12"/>
      <c r="EK19" s="12"/>
      <c r="EL19" s="12"/>
      <c r="EM19" s="12"/>
      <c r="EN19" s="16"/>
      <c r="EO19" s="59"/>
      <c r="EP19" s="69"/>
      <c r="EQ19" s="68"/>
      <c r="ER19" s="12"/>
      <c r="ES19" s="12"/>
      <c r="ET19" s="15"/>
      <c r="EU19" s="15"/>
      <c r="EV19" s="61"/>
      <c r="EW19" s="66"/>
      <c r="EX19" s="12"/>
      <c r="EY19" s="12"/>
      <c r="EZ19" s="16"/>
      <c r="FA19" s="59"/>
      <c r="FB19" s="69"/>
      <c r="FC19" s="68"/>
      <c r="FD19" s="12"/>
      <c r="FE19" s="15"/>
      <c r="FF19" s="15"/>
      <c r="FG19" s="61"/>
      <c r="FH19" s="66"/>
      <c r="FI19" s="12"/>
      <c r="FJ19" s="16"/>
      <c r="FK19" s="59"/>
      <c r="FL19" s="69"/>
      <c r="FM19" s="68"/>
      <c r="FN19" s="12"/>
      <c r="FO19" s="15"/>
      <c r="FP19" s="15"/>
      <c r="FQ19" s="15"/>
      <c r="FR19" s="15"/>
      <c r="FS19" s="61"/>
      <c r="FT19" s="66"/>
      <c r="FU19" s="12"/>
      <c r="FV19" s="12"/>
      <c r="FW19" s="12"/>
      <c r="FX19" s="16"/>
      <c r="FY19" s="59"/>
      <c r="FZ19" s="69"/>
      <c r="GA19" s="68"/>
      <c r="GB19" s="12"/>
      <c r="GC19" s="15"/>
      <c r="GD19" s="15"/>
      <c r="GE19" s="15"/>
      <c r="GF19" s="61"/>
      <c r="GG19" s="66"/>
      <c r="GH19" s="66"/>
      <c r="GI19" s="12"/>
      <c r="GJ19" s="12"/>
      <c r="GK19" s="31"/>
      <c r="GL19" s="123"/>
      <c r="GM19" s="410"/>
      <c r="GN19" s="414"/>
      <c r="GO19" s="68"/>
      <c r="GP19" s="12"/>
      <c r="GQ19" s="15"/>
      <c r="GR19" s="15"/>
      <c r="GS19" s="15"/>
      <c r="GT19" s="15"/>
      <c r="GU19" s="61"/>
      <c r="GV19" s="66"/>
      <c r="GW19" s="12"/>
      <c r="GX19" s="12"/>
      <c r="GY19" s="12"/>
      <c r="GZ19" s="16"/>
      <c r="HA19" s="59"/>
      <c r="HB19" s="69"/>
      <c r="HC19" s="68"/>
      <c r="HD19" s="12"/>
      <c r="HE19" s="15"/>
      <c r="HF19" s="15"/>
      <c r="HG19" s="15"/>
      <c r="HH19" s="15"/>
      <c r="HI19" s="15"/>
      <c r="HJ19" s="15"/>
      <c r="HK19" s="15"/>
      <c r="HL19" s="61"/>
      <c r="HM19" s="66"/>
      <c r="HN19" s="12"/>
      <c r="HO19" s="12"/>
      <c r="HP19" s="12"/>
      <c r="HQ19" s="12"/>
      <c r="HR19" s="12"/>
      <c r="HS19" s="12"/>
      <c r="HT19" s="16"/>
      <c r="HU19" s="59"/>
      <c r="HV19" s="69"/>
      <c r="HW19" s="68"/>
      <c r="HX19" s="12"/>
      <c r="HY19" s="15"/>
      <c r="HZ19" s="61"/>
      <c r="IA19" s="66"/>
      <c r="IB19" s="16"/>
      <c r="IC19" s="59"/>
      <c r="ID19" s="129"/>
      <c r="IE19" s="68"/>
      <c r="IF19" s="12"/>
      <c r="IG19" s="15"/>
      <c r="IH19" s="15"/>
      <c r="II19" s="15"/>
      <c r="IJ19" s="15"/>
      <c r="IK19" s="15"/>
      <c r="IL19" s="15"/>
      <c r="IM19" s="15"/>
      <c r="IN19" s="15"/>
      <c r="IO19" s="61"/>
      <c r="IP19" s="66"/>
      <c r="IQ19" s="12"/>
      <c r="IR19" s="12"/>
      <c r="IS19" s="12"/>
      <c r="IT19" s="12"/>
      <c r="IU19" s="12"/>
      <c r="IV19" s="12"/>
      <c r="IW19" s="15"/>
      <c r="IX19" s="16"/>
      <c r="IY19" s="59"/>
      <c r="IZ19" s="129"/>
      <c r="JA19" s="68"/>
      <c r="JB19" s="12"/>
      <c r="JC19" s="15"/>
      <c r="JD19" s="15"/>
      <c r="JE19" s="15"/>
      <c r="JF19" s="15"/>
      <c r="JG19" s="15"/>
      <c r="JH19" s="15"/>
      <c r="JI19" s="15"/>
      <c r="JJ19" s="15"/>
      <c r="JK19" s="61"/>
      <c r="JL19" s="66"/>
      <c r="JM19" s="12"/>
      <c r="JN19" s="12"/>
      <c r="JO19" s="12"/>
      <c r="JP19" s="12"/>
      <c r="JQ19" s="12"/>
      <c r="JR19" s="12"/>
      <c r="JS19" s="12"/>
      <c r="JT19" s="16"/>
      <c r="JU19" s="59"/>
      <c r="JV19" s="129"/>
      <c r="JW19" s="68"/>
      <c r="JX19" s="12"/>
      <c r="JY19" s="12"/>
      <c r="JZ19" s="15"/>
      <c r="KA19" s="15"/>
      <c r="KB19" s="15"/>
      <c r="KC19" s="15"/>
      <c r="KD19" s="15"/>
      <c r="KE19" s="15"/>
      <c r="KF19" s="15"/>
      <c r="KG19" s="61"/>
      <c r="KH19" s="146"/>
      <c r="KI19" s="12"/>
      <c r="KJ19" s="12"/>
      <c r="KK19" s="12"/>
      <c r="KL19" s="12"/>
      <c r="KM19" s="12"/>
      <c r="KN19" s="12"/>
      <c r="KO19" s="12"/>
      <c r="KP19" s="16"/>
      <c r="KQ19" s="59"/>
      <c r="KR19" s="129"/>
      <c r="KS19" s="68"/>
      <c r="KT19" s="12"/>
      <c r="KU19" s="15"/>
      <c r="KV19" s="15"/>
      <c r="KW19" s="15"/>
      <c r="KX19" s="15"/>
      <c r="KY19" s="15"/>
      <c r="KZ19" s="15"/>
      <c r="LA19" s="15"/>
      <c r="LB19" s="61"/>
      <c r="LC19" s="66"/>
      <c r="LD19" s="12"/>
      <c r="LE19" s="12"/>
      <c r="LF19" s="12"/>
      <c r="LG19" s="12"/>
      <c r="LH19" s="12"/>
      <c r="LI19" s="12"/>
      <c r="LJ19" s="16"/>
      <c r="LK19" s="59"/>
      <c r="LL19" s="129"/>
      <c r="LM19" s="68"/>
      <c r="LN19" s="15"/>
      <c r="LO19" s="15"/>
      <c r="LP19" s="15"/>
      <c r="LQ19" s="15"/>
      <c r="LR19" s="15"/>
      <c r="LS19" s="15"/>
      <c r="LT19" s="15"/>
      <c r="LU19" s="61"/>
      <c r="LV19" s="66"/>
      <c r="LW19" s="12"/>
      <c r="LX19" s="12"/>
      <c r="LY19" s="12"/>
      <c r="LZ19" s="12"/>
      <c r="MA19" s="12"/>
      <c r="MB19" s="16"/>
      <c r="MC19" s="59"/>
      <c r="MD19" s="129"/>
      <c r="ME19" s="68"/>
      <c r="MF19" s="15"/>
      <c r="MG19" s="15"/>
      <c r="MH19" s="15"/>
      <c r="MI19" s="15"/>
      <c r="MJ19" s="15"/>
      <c r="MK19" s="15"/>
      <c r="ML19" s="15"/>
      <c r="MM19" s="61">
        <f t="shared" si="111"/>
        <v>0</v>
      </c>
      <c r="MN19" s="66"/>
      <c r="MO19" s="12"/>
      <c r="MP19" s="12"/>
      <c r="MQ19" s="12"/>
      <c r="MR19" s="12"/>
      <c r="MS19" s="12"/>
      <c r="MT19" s="16"/>
      <c r="MU19" s="59"/>
      <c r="MV19" s="617">
        <v>25000</v>
      </c>
      <c r="MW19" s="619">
        <v>0.5</v>
      </c>
      <c r="MX19" s="15"/>
      <c r="MY19" s="15"/>
      <c r="MZ19" s="15"/>
      <c r="NA19" s="15"/>
      <c r="NB19" s="15"/>
      <c r="NC19" s="15"/>
      <c r="ND19" s="15"/>
      <c r="NE19" s="61">
        <f t="shared" si="118"/>
        <v>0.5</v>
      </c>
      <c r="NF19" s="66">
        <f t="shared" si="228"/>
        <v>0</v>
      </c>
      <c r="NG19" s="12"/>
      <c r="NH19" s="12">
        <f t="shared" si="228"/>
        <v>0</v>
      </c>
      <c r="NI19" s="12">
        <f t="shared" si="228"/>
        <v>0</v>
      </c>
      <c r="NJ19" s="12">
        <f t="shared" si="228"/>
        <v>0</v>
      </c>
      <c r="NK19" s="12">
        <f t="shared" si="228"/>
        <v>0</v>
      </c>
      <c r="NL19" s="16">
        <f t="shared" si="228"/>
        <v>0</v>
      </c>
      <c r="NM19" s="59">
        <f t="shared" si="125"/>
        <v>25000</v>
      </c>
      <c r="NN19" s="617">
        <v>25000</v>
      </c>
      <c r="NO19" s="619">
        <v>0.5</v>
      </c>
      <c r="NP19" s="15"/>
      <c r="NQ19" s="15">
        <v>0.1</v>
      </c>
      <c r="NR19" s="15"/>
      <c r="NS19" s="15"/>
      <c r="NT19" s="15"/>
      <c r="NU19" s="61">
        <f t="shared" si="126"/>
        <v>0.4</v>
      </c>
      <c r="NV19" s="66">
        <f t="shared" si="190"/>
        <v>0</v>
      </c>
      <c r="NW19" s="12">
        <f t="shared" si="209"/>
        <v>5000</v>
      </c>
      <c r="NX19" s="12">
        <f t="shared" si="210"/>
        <v>0</v>
      </c>
      <c r="NY19" s="12">
        <f t="shared" si="211"/>
        <v>0</v>
      </c>
      <c r="NZ19" s="16">
        <f t="shared" si="212"/>
        <v>0</v>
      </c>
      <c r="OA19" s="59">
        <f t="shared" si="131"/>
        <v>20000</v>
      </c>
      <c r="OB19" s="131">
        <v>25000</v>
      </c>
      <c r="OC19" s="133">
        <v>0.5</v>
      </c>
      <c r="OD19" s="15"/>
      <c r="OE19" s="15">
        <v>0.1</v>
      </c>
      <c r="OF19" s="15"/>
      <c r="OG19" s="15"/>
      <c r="OH19" s="15"/>
      <c r="OI19" s="61">
        <f t="shared" si="163"/>
        <v>0.4</v>
      </c>
      <c r="OJ19" s="66">
        <f t="shared" si="132"/>
        <v>0</v>
      </c>
      <c r="OK19" s="12">
        <f t="shared" si="133"/>
        <v>5000</v>
      </c>
      <c r="OL19" s="12">
        <f t="shared" si="134"/>
        <v>0</v>
      </c>
      <c r="OM19" s="12">
        <f t="shared" si="135"/>
        <v>0</v>
      </c>
      <c r="ON19" s="16">
        <f t="shared" si="136"/>
        <v>0</v>
      </c>
      <c r="OO19" s="59">
        <f t="shared" si="137"/>
        <v>20000</v>
      </c>
      <c r="OP19" s="131">
        <v>25000</v>
      </c>
      <c r="OQ19" s="133">
        <v>0.5</v>
      </c>
      <c r="OR19" s="15"/>
      <c r="OS19" s="15">
        <v>0.25</v>
      </c>
      <c r="OT19" s="15"/>
      <c r="OU19" s="15"/>
      <c r="OV19" s="15"/>
      <c r="OW19" s="61">
        <f t="shared" si="138"/>
        <v>0.25</v>
      </c>
      <c r="OX19" s="66">
        <f t="shared" si="139"/>
        <v>0</v>
      </c>
      <c r="OY19" s="12">
        <f t="shared" si="140"/>
        <v>12500</v>
      </c>
      <c r="OZ19" s="12">
        <f t="shared" si="141"/>
        <v>0</v>
      </c>
      <c r="PA19" s="12">
        <f t="shared" si="142"/>
        <v>0</v>
      </c>
      <c r="PB19" s="16">
        <f t="shared" si="143"/>
        <v>0</v>
      </c>
      <c r="PC19" s="59">
        <f t="shared" si="144"/>
        <v>12500</v>
      </c>
      <c r="PD19" s="131">
        <v>25000</v>
      </c>
      <c r="PE19" s="133">
        <v>0.5</v>
      </c>
      <c r="PF19" s="15"/>
      <c r="PG19" s="15"/>
      <c r="PH19" s="15"/>
      <c r="PI19" s="15"/>
      <c r="PJ19" s="15"/>
      <c r="PK19" s="61">
        <f t="shared" si="145"/>
        <v>0.5</v>
      </c>
      <c r="PL19" s="66">
        <f t="shared" si="174"/>
        <v>0</v>
      </c>
      <c r="PM19" s="12">
        <f t="shared" si="175"/>
        <v>0</v>
      </c>
      <c r="PN19" s="12">
        <f t="shared" si="176"/>
        <v>0</v>
      </c>
      <c r="PO19" s="12">
        <f t="shared" si="177"/>
        <v>0</v>
      </c>
      <c r="PP19" s="16">
        <f t="shared" si="178"/>
        <v>0</v>
      </c>
      <c r="PQ19" s="59">
        <f t="shared" si="150"/>
        <v>25000</v>
      </c>
      <c r="PS19" s="884">
        <f t="shared" si="151"/>
        <v>0</v>
      </c>
    </row>
    <row r="20" spans="2:435" x14ac:dyDescent="0.2">
      <c r="B20" s="24">
        <v>14</v>
      </c>
      <c r="C20" s="25" t="s">
        <v>32</v>
      </c>
      <c r="D20" s="26">
        <v>27500</v>
      </c>
      <c r="E20" s="42">
        <v>1</v>
      </c>
      <c r="F20" s="31"/>
      <c r="G20" s="12"/>
      <c r="H20" s="12"/>
      <c r="I20" s="12"/>
      <c r="J20" s="12">
        <v>0.5</v>
      </c>
      <c r="K20" s="12">
        <v>0.25</v>
      </c>
      <c r="L20" s="15">
        <v>0.25</v>
      </c>
      <c r="M20" s="61">
        <f t="shared" si="41"/>
        <v>0</v>
      </c>
      <c r="N20" s="31">
        <f t="shared" si="0"/>
        <v>0</v>
      </c>
      <c r="O20" s="12">
        <f t="shared" si="0"/>
        <v>0</v>
      </c>
      <c r="P20" s="12">
        <f t="shared" si="0"/>
        <v>0</v>
      </c>
      <c r="Q20" s="12">
        <f t="shared" si="0"/>
        <v>0</v>
      </c>
      <c r="R20" s="12">
        <f t="shared" si="0"/>
        <v>13750</v>
      </c>
      <c r="S20" s="12">
        <f t="shared" si="0"/>
        <v>6875</v>
      </c>
      <c r="T20" s="15">
        <f t="shared" si="0"/>
        <v>6875</v>
      </c>
      <c r="U20" s="59">
        <f t="shared" si="191"/>
        <v>0</v>
      </c>
      <c r="V20" s="26">
        <v>44000</v>
      </c>
      <c r="W20" s="42">
        <v>1</v>
      </c>
      <c r="X20" s="31"/>
      <c r="Y20" s="12"/>
      <c r="Z20" s="12"/>
      <c r="AA20" s="12"/>
      <c r="AB20" s="12">
        <v>0.5</v>
      </c>
      <c r="AC20" s="12">
        <v>0.1</v>
      </c>
      <c r="AD20" s="15">
        <v>0.25</v>
      </c>
      <c r="AE20" s="15">
        <v>0.15</v>
      </c>
      <c r="AF20" s="61">
        <f t="shared" si="42"/>
        <v>0</v>
      </c>
      <c r="AG20" s="35">
        <f t="shared" si="43"/>
        <v>0</v>
      </c>
      <c r="AH20" s="35">
        <f t="shared" si="1"/>
        <v>0</v>
      </c>
      <c r="AI20" s="35">
        <f t="shared" si="1"/>
        <v>0</v>
      </c>
      <c r="AJ20" s="35">
        <f t="shared" si="1"/>
        <v>0</v>
      </c>
      <c r="AK20" s="35">
        <f t="shared" si="1"/>
        <v>22000</v>
      </c>
      <c r="AL20" s="35">
        <f t="shared" si="1"/>
        <v>4400</v>
      </c>
      <c r="AM20" s="35">
        <f t="shared" si="1"/>
        <v>11000</v>
      </c>
      <c r="AN20" s="35">
        <f t="shared" si="1"/>
        <v>6600</v>
      </c>
      <c r="AO20" s="62">
        <f t="shared" si="44"/>
        <v>0</v>
      </c>
      <c r="AP20" s="26">
        <v>44000</v>
      </c>
      <c r="AQ20" s="42">
        <v>1</v>
      </c>
      <c r="AR20" s="12"/>
      <c r="AS20" s="12"/>
      <c r="AT20" s="12">
        <v>0.5</v>
      </c>
      <c r="AU20" s="12">
        <v>0.2</v>
      </c>
      <c r="AV20" s="15">
        <v>0.2</v>
      </c>
      <c r="AW20" s="15">
        <v>0.1</v>
      </c>
      <c r="AX20" s="61">
        <f t="shared" si="45"/>
        <v>0</v>
      </c>
      <c r="AY20" s="35">
        <f t="shared" si="2"/>
        <v>0</v>
      </c>
      <c r="AZ20" s="35">
        <f t="shared" si="2"/>
        <v>0</v>
      </c>
      <c r="BA20" s="35">
        <f t="shared" si="2"/>
        <v>22000</v>
      </c>
      <c r="BB20" s="35">
        <f t="shared" si="2"/>
        <v>8800</v>
      </c>
      <c r="BC20" s="35">
        <f t="shared" si="2"/>
        <v>8800</v>
      </c>
      <c r="BD20" s="34">
        <f t="shared" si="2"/>
        <v>4400</v>
      </c>
      <c r="BE20" s="59">
        <f t="shared" si="46"/>
        <v>0</v>
      </c>
      <c r="BF20" s="26">
        <v>44000</v>
      </c>
      <c r="BG20" s="42">
        <v>1</v>
      </c>
      <c r="BH20" s="12"/>
      <c r="BI20" s="12"/>
      <c r="BJ20" s="12">
        <v>0.5</v>
      </c>
      <c r="BK20" s="12">
        <v>0.1</v>
      </c>
      <c r="BL20" s="15">
        <v>0.1</v>
      </c>
      <c r="BM20" s="15">
        <v>0.3</v>
      </c>
      <c r="BN20" s="15"/>
      <c r="BO20" s="61">
        <f t="shared" si="3"/>
        <v>0</v>
      </c>
      <c r="BP20" s="65">
        <f t="shared" si="4"/>
        <v>0</v>
      </c>
      <c r="BQ20" s="33">
        <f t="shared" si="4"/>
        <v>0</v>
      </c>
      <c r="BR20" s="33">
        <f t="shared" si="4"/>
        <v>22000</v>
      </c>
      <c r="BS20" s="33">
        <f t="shared" si="4"/>
        <v>4400</v>
      </c>
      <c r="BT20" s="33">
        <f t="shared" si="4"/>
        <v>4400</v>
      </c>
      <c r="BU20" s="33">
        <f t="shared" si="4"/>
        <v>13200</v>
      </c>
      <c r="BV20" s="34">
        <f t="shared" si="4"/>
        <v>0</v>
      </c>
      <c r="BW20" s="59">
        <f t="shared" si="192"/>
        <v>0</v>
      </c>
      <c r="BX20" s="69">
        <v>44000</v>
      </c>
      <c r="BY20" s="68">
        <v>1</v>
      </c>
      <c r="BZ20" s="31"/>
      <c r="CA20" s="12"/>
      <c r="CB20" s="12">
        <v>0.5</v>
      </c>
      <c r="CC20" s="12">
        <v>0.2</v>
      </c>
      <c r="CD20" s="15">
        <v>0.2</v>
      </c>
      <c r="CE20" s="15">
        <v>0.1</v>
      </c>
      <c r="CF20" s="15"/>
      <c r="CG20" s="61">
        <f t="shared" si="5"/>
        <v>0</v>
      </c>
      <c r="CH20" s="66">
        <f t="shared" si="47"/>
        <v>0</v>
      </c>
      <c r="CI20" s="12">
        <f t="shared" si="6"/>
        <v>0</v>
      </c>
      <c r="CJ20" s="12">
        <f t="shared" si="6"/>
        <v>22000</v>
      </c>
      <c r="CK20" s="12">
        <f t="shared" si="6"/>
        <v>8800</v>
      </c>
      <c r="CL20" s="12">
        <f t="shared" si="6"/>
        <v>8800</v>
      </c>
      <c r="CM20" s="12">
        <f t="shared" si="6"/>
        <v>4400</v>
      </c>
      <c r="CN20" s="16">
        <f t="shared" si="6"/>
        <v>0</v>
      </c>
      <c r="CO20" s="59">
        <f t="shared" si="193"/>
        <v>0</v>
      </c>
      <c r="CP20" s="69">
        <v>44000</v>
      </c>
      <c r="CQ20" s="68">
        <v>1</v>
      </c>
      <c r="CR20" s="12"/>
      <c r="CS20" s="12"/>
      <c r="CT20" s="12">
        <v>0.5</v>
      </c>
      <c r="CU20" s="12">
        <v>0.1</v>
      </c>
      <c r="CV20" s="15">
        <v>0.1</v>
      </c>
      <c r="CW20" s="15">
        <v>0.3</v>
      </c>
      <c r="CX20" s="15"/>
      <c r="CY20" s="61">
        <f t="shared" si="7"/>
        <v>0</v>
      </c>
      <c r="CZ20" s="66">
        <f t="shared" si="194"/>
        <v>0</v>
      </c>
      <c r="DA20" s="12">
        <f t="shared" si="8"/>
        <v>0</v>
      </c>
      <c r="DB20" s="12">
        <f t="shared" si="8"/>
        <v>22000</v>
      </c>
      <c r="DC20" s="12">
        <f t="shared" si="8"/>
        <v>4400</v>
      </c>
      <c r="DD20" s="12">
        <f t="shared" si="8"/>
        <v>4400</v>
      </c>
      <c r="DE20" s="12">
        <f t="shared" si="8"/>
        <v>13200</v>
      </c>
      <c r="DF20" s="16">
        <f t="shared" si="8"/>
        <v>0</v>
      </c>
      <c r="DG20" s="59">
        <f t="shared" si="195"/>
        <v>0</v>
      </c>
      <c r="DH20" s="69">
        <f>35618.95+7015.32</f>
        <v>42634.27</v>
      </c>
      <c r="DI20" s="68">
        <v>1</v>
      </c>
      <c r="DJ20" s="12"/>
      <c r="DK20" s="12"/>
      <c r="DL20" s="12">
        <v>0.5</v>
      </c>
      <c r="DM20" s="12">
        <v>0.1</v>
      </c>
      <c r="DN20" s="15">
        <v>0.1</v>
      </c>
      <c r="DO20" s="15">
        <v>0.3</v>
      </c>
      <c r="DP20" s="15"/>
      <c r="DQ20" s="61">
        <f t="shared" si="9"/>
        <v>0</v>
      </c>
      <c r="DR20" s="66">
        <f t="shared" si="48"/>
        <v>0</v>
      </c>
      <c r="DS20" s="12">
        <f t="shared" si="10"/>
        <v>0</v>
      </c>
      <c r="DT20" s="12">
        <f t="shared" si="10"/>
        <v>21317.14</v>
      </c>
      <c r="DU20" s="12">
        <f t="shared" si="10"/>
        <v>4263.43</v>
      </c>
      <c r="DV20" s="12">
        <f t="shared" si="10"/>
        <v>4263.43</v>
      </c>
      <c r="DW20" s="12">
        <f t="shared" si="10"/>
        <v>12790.28</v>
      </c>
      <c r="DX20" s="16">
        <f t="shared" si="10"/>
        <v>0</v>
      </c>
      <c r="DY20" s="59">
        <f t="shared" si="196"/>
        <v>-0.01</v>
      </c>
      <c r="DZ20" s="69">
        <v>44000</v>
      </c>
      <c r="EA20" s="68">
        <v>1</v>
      </c>
      <c r="EB20" s="12"/>
      <c r="EC20" s="12"/>
      <c r="ED20" s="12"/>
      <c r="EE20" s="15"/>
      <c r="EF20" s="15">
        <v>1</v>
      </c>
      <c r="EG20" s="15"/>
      <c r="EH20" s="61">
        <f t="shared" si="197"/>
        <v>0</v>
      </c>
      <c r="EI20" s="66">
        <f t="shared" si="11"/>
        <v>0</v>
      </c>
      <c r="EJ20" s="12">
        <f t="shared" si="11"/>
        <v>0</v>
      </c>
      <c r="EK20" s="12">
        <f t="shared" si="11"/>
        <v>0</v>
      </c>
      <c r="EL20" s="12">
        <f t="shared" si="11"/>
        <v>0</v>
      </c>
      <c r="EM20" s="12">
        <f t="shared" si="11"/>
        <v>44000</v>
      </c>
      <c r="EN20" s="16">
        <f t="shared" si="11"/>
        <v>0</v>
      </c>
      <c r="EO20" s="59">
        <f t="shared" si="198"/>
        <v>0</v>
      </c>
      <c r="EP20" s="69">
        <f>24000.18+39454.18</f>
        <v>63454.36</v>
      </c>
      <c r="EQ20" s="68">
        <v>1</v>
      </c>
      <c r="ER20" s="12"/>
      <c r="ES20" s="12"/>
      <c r="ET20" s="15">
        <v>1</v>
      </c>
      <c r="EU20" s="15"/>
      <c r="EV20" s="61">
        <f t="shared" si="199"/>
        <v>0</v>
      </c>
      <c r="EW20" s="66">
        <f t="shared" si="49"/>
        <v>0</v>
      </c>
      <c r="EX20" s="12">
        <f t="shared" si="49"/>
        <v>0</v>
      </c>
      <c r="EY20" s="12">
        <f t="shared" si="49"/>
        <v>63454.36</v>
      </c>
      <c r="EZ20" s="16">
        <f t="shared" si="49"/>
        <v>0</v>
      </c>
      <c r="FA20" s="59">
        <f t="shared" si="200"/>
        <v>0</v>
      </c>
      <c r="FB20" s="69">
        <v>22000</v>
      </c>
      <c r="FC20" s="68">
        <v>0.5</v>
      </c>
      <c r="FD20" s="12"/>
      <c r="FE20" s="15">
        <v>0.5</v>
      </c>
      <c r="FF20" s="15"/>
      <c r="FG20" s="61">
        <f t="shared" si="201"/>
        <v>0</v>
      </c>
      <c r="FH20" s="66">
        <f t="shared" si="50"/>
        <v>0</v>
      </c>
      <c r="FI20" s="12">
        <f t="shared" si="50"/>
        <v>22000</v>
      </c>
      <c r="FJ20" s="16">
        <f t="shared" si="50"/>
        <v>0</v>
      </c>
      <c r="FK20" s="59">
        <f t="shared" si="202"/>
        <v>0</v>
      </c>
      <c r="FL20" s="69">
        <v>22000</v>
      </c>
      <c r="FM20" s="68">
        <v>0.5</v>
      </c>
      <c r="FN20" s="12"/>
      <c r="FO20" s="15">
        <v>0.5</v>
      </c>
      <c r="FP20" s="15"/>
      <c r="FQ20" s="15"/>
      <c r="FR20" s="15"/>
      <c r="FS20" s="61">
        <f t="shared" si="203"/>
        <v>0</v>
      </c>
      <c r="FT20" s="66">
        <f t="shared" si="204"/>
        <v>0</v>
      </c>
      <c r="FU20" s="12">
        <f t="shared" si="205"/>
        <v>22000</v>
      </c>
      <c r="FV20" s="12">
        <f t="shared" si="206"/>
        <v>0</v>
      </c>
      <c r="FW20" s="12">
        <f t="shared" si="207"/>
        <v>0</v>
      </c>
      <c r="FX20" s="16">
        <f t="shared" si="51"/>
        <v>0</v>
      </c>
      <c r="FY20" s="59">
        <f t="shared" si="52"/>
        <v>0</v>
      </c>
      <c r="FZ20" s="69">
        <f>22000*5+46700</f>
        <v>156700</v>
      </c>
      <c r="GA20" s="68">
        <v>0.5</v>
      </c>
      <c r="GB20" s="12"/>
      <c r="GC20" s="15">
        <v>0.5</v>
      </c>
      <c r="GD20" s="15"/>
      <c r="GE20" s="15"/>
      <c r="GF20" s="61">
        <f t="shared" si="208"/>
        <v>0</v>
      </c>
      <c r="GG20" s="66">
        <f t="shared" si="53"/>
        <v>0</v>
      </c>
      <c r="GH20" s="66">
        <f t="shared" si="12"/>
        <v>0</v>
      </c>
      <c r="GI20" s="12">
        <f t="shared" si="13"/>
        <v>156700</v>
      </c>
      <c r="GJ20" s="142">
        <f>IF($GA20&lt;&gt;0,GC20*$FZ20/$GA20,0)-58588.74</f>
        <v>98111.26</v>
      </c>
      <c r="GK20" s="31">
        <f t="shared" si="14"/>
        <v>0</v>
      </c>
      <c r="GL20" s="123">
        <f t="shared" si="15"/>
        <v>0</v>
      </c>
      <c r="GM20" s="410">
        <f t="shared" si="16"/>
        <v>0</v>
      </c>
      <c r="GN20" s="414">
        <f>22000</f>
        <v>22000</v>
      </c>
      <c r="GO20" s="68">
        <v>0.5</v>
      </c>
      <c r="GP20" s="12"/>
      <c r="GQ20" s="15">
        <v>0.5</v>
      </c>
      <c r="GR20" s="15"/>
      <c r="GS20" s="15"/>
      <c r="GT20" s="15"/>
      <c r="GU20" s="61">
        <f t="shared" si="54"/>
        <v>0</v>
      </c>
      <c r="GV20" s="66">
        <f t="shared" si="17"/>
        <v>0</v>
      </c>
      <c r="GW20" s="12">
        <f t="shared" si="18"/>
        <v>22000</v>
      </c>
      <c r="GX20" s="12">
        <f t="shared" si="19"/>
        <v>0</v>
      </c>
      <c r="GY20" s="12">
        <f t="shared" si="20"/>
        <v>0</v>
      </c>
      <c r="GZ20" s="16">
        <f t="shared" si="21"/>
        <v>0</v>
      </c>
      <c r="HA20" s="59">
        <f t="shared" si="55"/>
        <v>0</v>
      </c>
      <c r="HB20" s="69">
        <v>33000</v>
      </c>
      <c r="HC20" s="68">
        <v>0.5</v>
      </c>
      <c r="HD20" s="12"/>
      <c r="HE20" s="15">
        <v>0.5</v>
      </c>
      <c r="HF20" s="15"/>
      <c r="HG20" s="15"/>
      <c r="HH20" s="15"/>
      <c r="HI20" s="15"/>
      <c r="HJ20" s="15"/>
      <c r="HK20" s="15"/>
      <c r="HL20" s="61">
        <f t="shared" si="56"/>
        <v>0</v>
      </c>
      <c r="HM20" s="66">
        <f t="shared" si="22"/>
        <v>0</v>
      </c>
      <c r="HN20" s="12">
        <f t="shared" si="23"/>
        <v>33000</v>
      </c>
      <c r="HO20" s="12">
        <f t="shared" si="24"/>
        <v>0</v>
      </c>
      <c r="HP20" s="12">
        <f t="shared" si="25"/>
        <v>0</v>
      </c>
      <c r="HQ20" s="12">
        <f t="shared" si="26"/>
        <v>0</v>
      </c>
      <c r="HR20" s="12">
        <f t="shared" si="27"/>
        <v>0</v>
      </c>
      <c r="HS20" s="12">
        <f t="shared" si="28"/>
        <v>0</v>
      </c>
      <c r="HT20" s="16">
        <f t="shared" si="29"/>
        <v>0</v>
      </c>
      <c r="HU20" s="59">
        <f t="shared" si="57"/>
        <v>0</v>
      </c>
      <c r="HV20" s="69">
        <f>22000</f>
        <v>22000</v>
      </c>
      <c r="HW20" s="68">
        <v>0.5</v>
      </c>
      <c r="HX20" s="12"/>
      <c r="HY20" s="15"/>
      <c r="HZ20" s="61">
        <f t="shared" si="58"/>
        <v>0.5</v>
      </c>
      <c r="IA20" s="66">
        <f t="shared" si="59"/>
        <v>0</v>
      </c>
      <c r="IB20" s="16">
        <f t="shared" si="59"/>
        <v>0</v>
      </c>
      <c r="IC20" s="59">
        <f t="shared" si="60"/>
        <v>22000</v>
      </c>
      <c r="ID20" s="129">
        <f>1571.43+35134.4</f>
        <v>36705.83</v>
      </c>
      <c r="IE20" s="68">
        <v>0.5</v>
      </c>
      <c r="IF20" s="12"/>
      <c r="IG20" s="15">
        <v>0.5</v>
      </c>
      <c r="IH20" s="15"/>
      <c r="II20" s="15"/>
      <c r="IJ20" s="15"/>
      <c r="IK20" s="15"/>
      <c r="IL20" s="15"/>
      <c r="IM20" s="15"/>
      <c r="IN20" s="15"/>
      <c r="IO20" s="61">
        <f t="shared" si="61"/>
        <v>0</v>
      </c>
      <c r="IP20" s="66">
        <f t="shared" si="62"/>
        <v>0</v>
      </c>
      <c r="IQ20" s="12">
        <f t="shared" si="63"/>
        <v>36705.83</v>
      </c>
      <c r="IR20" s="12">
        <f t="shared" si="64"/>
        <v>0</v>
      </c>
      <c r="IS20" s="12">
        <f t="shared" si="65"/>
        <v>0</v>
      </c>
      <c r="IT20" s="12">
        <f t="shared" si="66"/>
        <v>0</v>
      </c>
      <c r="IU20" s="12">
        <f t="shared" si="67"/>
        <v>0</v>
      </c>
      <c r="IV20" s="12">
        <f t="shared" si="68"/>
        <v>0</v>
      </c>
      <c r="IW20" s="15">
        <f t="shared" si="69"/>
        <v>0</v>
      </c>
      <c r="IX20" s="16">
        <f t="shared" si="69"/>
        <v>0</v>
      </c>
      <c r="IY20" s="59">
        <f t="shared" si="70"/>
        <v>0</v>
      </c>
      <c r="IZ20" s="129">
        <v>33000</v>
      </c>
      <c r="JA20" s="68">
        <v>0.5</v>
      </c>
      <c r="JB20" s="12"/>
      <c r="JC20" s="15">
        <v>0.5</v>
      </c>
      <c r="JD20" s="15"/>
      <c r="JE20" s="15"/>
      <c r="JF20" s="15"/>
      <c r="JG20" s="15"/>
      <c r="JH20" s="15"/>
      <c r="JI20" s="15"/>
      <c r="JJ20" s="15"/>
      <c r="JK20" s="61">
        <f t="shared" si="71"/>
        <v>0</v>
      </c>
      <c r="JL20" s="66">
        <f t="shared" si="72"/>
        <v>0</v>
      </c>
      <c r="JM20" s="12">
        <f t="shared" si="73"/>
        <v>33000</v>
      </c>
      <c r="JN20" s="12">
        <f t="shared" si="74"/>
        <v>0</v>
      </c>
      <c r="JO20" s="12">
        <f t="shared" si="75"/>
        <v>0</v>
      </c>
      <c r="JP20" s="12">
        <f t="shared" si="76"/>
        <v>0</v>
      </c>
      <c r="JQ20" s="12">
        <f t="shared" si="77"/>
        <v>0</v>
      </c>
      <c r="JR20" s="12">
        <f t="shared" si="78"/>
        <v>0</v>
      </c>
      <c r="JS20" s="12">
        <f t="shared" si="79"/>
        <v>0</v>
      </c>
      <c r="JT20" s="16">
        <f t="shared" si="80"/>
        <v>0</v>
      </c>
      <c r="JU20" s="59">
        <f t="shared" si="81"/>
        <v>0</v>
      </c>
      <c r="JV20" s="129">
        <v>33000</v>
      </c>
      <c r="JW20" s="68">
        <v>0.5</v>
      </c>
      <c r="JX20" s="12"/>
      <c r="JY20" s="12"/>
      <c r="JZ20" s="15">
        <v>0.5</v>
      </c>
      <c r="KA20" s="15"/>
      <c r="KB20" s="15"/>
      <c r="KC20" s="15"/>
      <c r="KD20" s="15"/>
      <c r="KE20" s="15"/>
      <c r="KF20" s="15"/>
      <c r="KG20" s="61">
        <f t="shared" si="82"/>
        <v>0</v>
      </c>
      <c r="KH20" s="146">
        <f t="shared" si="83"/>
        <v>0</v>
      </c>
      <c r="KI20" s="12">
        <f t="shared" si="83"/>
        <v>0</v>
      </c>
      <c r="KJ20" s="12">
        <f t="shared" si="84"/>
        <v>33000</v>
      </c>
      <c r="KK20" s="12">
        <f t="shared" si="85"/>
        <v>0</v>
      </c>
      <c r="KL20" s="12">
        <f t="shared" si="86"/>
        <v>0</v>
      </c>
      <c r="KM20" s="12">
        <f t="shared" si="87"/>
        <v>0</v>
      </c>
      <c r="KN20" s="12">
        <f t="shared" si="88"/>
        <v>0</v>
      </c>
      <c r="KO20" s="12">
        <f t="shared" si="89"/>
        <v>0</v>
      </c>
      <c r="KP20" s="16">
        <f t="shared" si="90"/>
        <v>0</v>
      </c>
      <c r="KQ20" s="59">
        <f t="shared" si="91"/>
        <v>0</v>
      </c>
      <c r="KR20" s="129">
        <v>33000</v>
      </c>
      <c r="KS20" s="68">
        <v>0.5</v>
      </c>
      <c r="KT20" s="12"/>
      <c r="KU20" s="15">
        <v>0.5</v>
      </c>
      <c r="KV20" s="15"/>
      <c r="KW20" s="15"/>
      <c r="KX20" s="15"/>
      <c r="KY20" s="15"/>
      <c r="KZ20" s="15"/>
      <c r="LA20" s="15"/>
      <c r="LB20" s="61">
        <f t="shared" si="92"/>
        <v>0</v>
      </c>
      <c r="LC20" s="66">
        <f t="shared" si="93"/>
        <v>0</v>
      </c>
      <c r="LD20" s="12">
        <f t="shared" si="94"/>
        <v>33000</v>
      </c>
      <c r="LE20" s="12">
        <f t="shared" si="95"/>
        <v>0</v>
      </c>
      <c r="LF20" s="12">
        <f t="shared" si="96"/>
        <v>0</v>
      </c>
      <c r="LG20" s="12">
        <f t="shared" si="97"/>
        <v>0</v>
      </c>
      <c r="LH20" s="12">
        <f t="shared" si="98"/>
        <v>0</v>
      </c>
      <c r="LI20" s="12">
        <f t="shared" si="99"/>
        <v>0</v>
      </c>
      <c r="LJ20" s="16">
        <f t="shared" si="100"/>
        <v>0</v>
      </c>
      <c r="LK20" s="59">
        <f t="shared" si="101"/>
        <v>0</v>
      </c>
      <c r="LL20" s="129">
        <v>33000</v>
      </c>
      <c r="LM20" s="68">
        <v>0.5</v>
      </c>
      <c r="LN20" s="15"/>
      <c r="LO20" s="15"/>
      <c r="LP20" s="15"/>
      <c r="LQ20" s="15"/>
      <c r="LR20" s="15"/>
      <c r="LS20" s="15">
        <v>0.5</v>
      </c>
      <c r="LT20" s="15"/>
      <c r="LU20" s="61">
        <f t="shared" si="102"/>
        <v>0</v>
      </c>
      <c r="LV20" s="66">
        <f t="shared" si="103"/>
        <v>0</v>
      </c>
      <c r="LW20" s="12">
        <f t="shared" si="104"/>
        <v>0</v>
      </c>
      <c r="LX20" s="12">
        <f t="shared" si="105"/>
        <v>0</v>
      </c>
      <c r="LY20" s="12">
        <f t="shared" si="106"/>
        <v>0</v>
      </c>
      <c r="LZ20" s="12">
        <f t="shared" si="107"/>
        <v>0</v>
      </c>
      <c r="MA20" s="12">
        <f t="shared" si="108"/>
        <v>33000</v>
      </c>
      <c r="MB20" s="16">
        <f t="shared" si="109"/>
        <v>0</v>
      </c>
      <c r="MC20" s="59">
        <f t="shared" si="110"/>
        <v>0</v>
      </c>
      <c r="MD20" s="129">
        <v>33000</v>
      </c>
      <c r="ME20" s="68">
        <v>0.5</v>
      </c>
      <c r="MF20" s="15"/>
      <c r="MG20" s="15"/>
      <c r="MH20" s="15"/>
      <c r="MI20" s="15"/>
      <c r="MJ20" s="15">
        <v>0.5</v>
      </c>
      <c r="MK20" s="15"/>
      <c r="ML20" s="15"/>
      <c r="MM20" s="61">
        <f t="shared" si="111"/>
        <v>0</v>
      </c>
      <c r="MN20" s="66">
        <f t="shared" si="112"/>
        <v>0</v>
      </c>
      <c r="MO20" s="12">
        <f t="shared" si="113"/>
        <v>0</v>
      </c>
      <c r="MP20" s="12">
        <f t="shared" si="114"/>
        <v>0</v>
      </c>
      <c r="MQ20" s="12">
        <f t="shared" si="115"/>
        <v>0</v>
      </c>
      <c r="MR20" s="12">
        <f t="shared" si="116"/>
        <v>33000</v>
      </c>
      <c r="MS20" s="12">
        <f t="shared" si="116"/>
        <v>0</v>
      </c>
      <c r="MT20" s="16">
        <f t="shared" si="117"/>
        <v>0</v>
      </c>
      <c r="MU20" s="59">
        <f t="shared" si="189"/>
        <v>0</v>
      </c>
      <c r="MV20" s="617">
        <v>33000</v>
      </c>
      <c r="MW20" s="619">
        <v>0.5</v>
      </c>
      <c r="MX20" s="15"/>
      <c r="MY20" s="15"/>
      <c r="MZ20" s="15"/>
      <c r="NA20" s="15"/>
      <c r="NB20" s="15"/>
      <c r="NC20" s="15"/>
      <c r="ND20" s="15"/>
      <c r="NE20" s="61">
        <f t="shared" si="118"/>
        <v>0.5</v>
      </c>
      <c r="NF20" s="66">
        <f t="shared" si="119"/>
        <v>0</v>
      </c>
      <c r="NG20" s="12">
        <f t="shared" si="120"/>
        <v>0</v>
      </c>
      <c r="NH20" s="12">
        <f t="shared" si="121"/>
        <v>0</v>
      </c>
      <c r="NI20" s="12">
        <f t="shared" si="122"/>
        <v>0</v>
      </c>
      <c r="NJ20" s="12">
        <f t="shared" si="123"/>
        <v>0</v>
      </c>
      <c r="NK20" s="12">
        <f t="shared" si="123"/>
        <v>0</v>
      </c>
      <c r="NL20" s="16">
        <f t="shared" si="124"/>
        <v>0</v>
      </c>
      <c r="NM20" s="59">
        <f t="shared" si="125"/>
        <v>33000</v>
      </c>
      <c r="NN20" s="617">
        <v>38500</v>
      </c>
      <c r="NO20" s="619">
        <v>0.5</v>
      </c>
      <c r="NP20" s="15"/>
      <c r="NQ20" s="15"/>
      <c r="NR20" s="15"/>
      <c r="NS20" s="15"/>
      <c r="NT20" s="15"/>
      <c r="NU20" s="61">
        <f t="shared" si="126"/>
        <v>0.5</v>
      </c>
      <c r="NV20" s="66">
        <f t="shared" si="190"/>
        <v>0</v>
      </c>
      <c r="NW20" s="12">
        <f t="shared" si="209"/>
        <v>0</v>
      </c>
      <c r="NX20" s="12">
        <f t="shared" si="210"/>
        <v>0</v>
      </c>
      <c r="NY20" s="12">
        <f t="shared" si="211"/>
        <v>0</v>
      </c>
      <c r="NZ20" s="16">
        <f t="shared" si="212"/>
        <v>0</v>
      </c>
      <c r="OA20" s="59">
        <f t="shared" si="131"/>
        <v>38500</v>
      </c>
      <c r="OB20" s="131">
        <v>38500</v>
      </c>
      <c r="OC20" s="133">
        <v>0.5</v>
      </c>
      <c r="OD20" s="15"/>
      <c r="OE20" s="15"/>
      <c r="OF20" s="15"/>
      <c r="OG20" s="15"/>
      <c r="OH20" s="15"/>
      <c r="OI20" s="61">
        <f t="shared" si="163"/>
        <v>0.5</v>
      </c>
      <c r="OJ20" s="66">
        <f t="shared" si="132"/>
        <v>0</v>
      </c>
      <c r="OK20" s="12">
        <f t="shared" si="133"/>
        <v>0</v>
      </c>
      <c r="OL20" s="12">
        <f t="shared" si="134"/>
        <v>0</v>
      </c>
      <c r="OM20" s="12">
        <f t="shared" si="135"/>
        <v>0</v>
      </c>
      <c r="ON20" s="16">
        <f t="shared" si="136"/>
        <v>0</v>
      </c>
      <c r="OO20" s="59">
        <f t="shared" si="137"/>
        <v>38500</v>
      </c>
      <c r="OP20" s="131">
        <v>38500</v>
      </c>
      <c r="OQ20" s="133">
        <v>0.5</v>
      </c>
      <c r="OR20" s="15"/>
      <c r="OS20" s="15"/>
      <c r="OT20" s="15"/>
      <c r="OU20" s="15"/>
      <c r="OV20" s="15"/>
      <c r="OW20" s="61">
        <f t="shared" si="138"/>
        <v>0.5</v>
      </c>
      <c r="OX20" s="66">
        <f t="shared" si="139"/>
        <v>0</v>
      </c>
      <c r="OY20" s="12">
        <f t="shared" si="140"/>
        <v>0</v>
      </c>
      <c r="OZ20" s="12">
        <f t="shared" si="141"/>
        <v>0</v>
      </c>
      <c r="PA20" s="12">
        <f t="shared" si="142"/>
        <v>0</v>
      </c>
      <c r="PB20" s="16">
        <f t="shared" si="143"/>
        <v>0</v>
      </c>
      <c r="PC20" s="59">
        <f t="shared" si="144"/>
        <v>38500</v>
      </c>
      <c r="PD20" s="131">
        <v>38500</v>
      </c>
      <c r="PE20" s="133">
        <v>0.5</v>
      </c>
      <c r="PF20" s="15"/>
      <c r="PG20" s="15"/>
      <c r="PH20" s="15"/>
      <c r="PI20" s="15"/>
      <c r="PJ20" s="15"/>
      <c r="PK20" s="61">
        <f t="shared" si="145"/>
        <v>0.5</v>
      </c>
      <c r="PL20" s="66">
        <f t="shared" si="174"/>
        <v>0</v>
      </c>
      <c r="PM20" s="12">
        <f t="shared" si="175"/>
        <v>0</v>
      </c>
      <c r="PN20" s="12">
        <f t="shared" si="176"/>
        <v>0</v>
      </c>
      <c r="PO20" s="12">
        <f t="shared" si="177"/>
        <v>0</v>
      </c>
      <c r="PP20" s="16">
        <f t="shared" si="178"/>
        <v>0</v>
      </c>
      <c r="PQ20" s="59">
        <f t="shared" si="150"/>
        <v>38500</v>
      </c>
      <c r="PS20" s="884">
        <f t="shared" si="151"/>
        <v>0</v>
      </c>
    </row>
    <row r="21" spans="2:435" x14ac:dyDescent="0.2">
      <c r="B21" s="24">
        <v>15</v>
      </c>
      <c r="C21" s="25" t="s">
        <v>212</v>
      </c>
      <c r="D21" s="26"/>
      <c r="E21" s="42"/>
      <c r="F21" s="31"/>
      <c r="G21" s="12"/>
      <c r="H21" s="12"/>
      <c r="I21" s="12"/>
      <c r="J21" s="12"/>
      <c r="K21" s="12"/>
      <c r="L21" s="15"/>
      <c r="M21" s="61"/>
      <c r="N21" s="31"/>
      <c r="O21" s="12"/>
      <c r="P21" s="12"/>
      <c r="Q21" s="12"/>
      <c r="R21" s="12"/>
      <c r="S21" s="12"/>
      <c r="T21" s="15"/>
      <c r="U21" s="59"/>
      <c r="V21" s="26"/>
      <c r="W21" s="42"/>
      <c r="X21" s="31"/>
      <c r="Y21" s="12"/>
      <c r="Z21" s="12"/>
      <c r="AA21" s="12"/>
      <c r="AB21" s="12"/>
      <c r="AC21" s="12"/>
      <c r="AD21" s="15"/>
      <c r="AE21" s="15"/>
      <c r="AF21" s="61"/>
      <c r="AG21" s="35"/>
      <c r="AH21" s="35"/>
      <c r="AI21" s="35"/>
      <c r="AJ21" s="35"/>
      <c r="AK21" s="35"/>
      <c r="AL21" s="35"/>
      <c r="AM21" s="35"/>
      <c r="AN21" s="35"/>
      <c r="AO21" s="62"/>
      <c r="AP21" s="26"/>
      <c r="AQ21" s="42"/>
      <c r="AR21" s="12"/>
      <c r="AS21" s="12"/>
      <c r="AT21" s="12"/>
      <c r="AU21" s="12"/>
      <c r="AV21" s="15"/>
      <c r="AW21" s="15"/>
      <c r="AX21" s="61"/>
      <c r="AY21" s="35"/>
      <c r="AZ21" s="35"/>
      <c r="BA21" s="35"/>
      <c r="BB21" s="35"/>
      <c r="BC21" s="35"/>
      <c r="BD21" s="34"/>
      <c r="BE21" s="59"/>
      <c r="BF21" s="26"/>
      <c r="BG21" s="42"/>
      <c r="BH21" s="12"/>
      <c r="BI21" s="12"/>
      <c r="BJ21" s="12"/>
      <c r="BK21" s="12"/>
      <c r="BL21" s="15"/>
      <c r="BM21" s="15"/>
      <c r="BN21" s="15"/>
      <c r="BO21" s="61"/>
      <c r="BP21" s="65"/>
      <c r="BQ21" s="33"/>
      <c r="BR21" s="33"/>
      <c r="BS21" s="33"/>
      <c r="BT21" s="33"/>
      <c r="BU21" s="33"/>
      <c r="BV21" s="34"/>
      <c r="BW21" s="59"/>
      <c r="BX21" s="69"/>
      <c r="BY21" s="68"/>
      <c r="BZ21" s="31"/>
      <c r="CA21" s="12"/>
      <c r="CB21" s="12"/>
      <c r="CC21" s="12"/>
      <c r="CD21" s="15"/>
      <c r="CE21" s="15"/>
      <c r="CF21" s="15"/>
      <c r="CG21" s="61"/>
      <c r="CH21" s="66"/>
      <c r="CI21" s="12"/>
      <c r="CJ21" s="12"/>
      <c r="CK21" s="12"/>
      <c r="CL21" s="12"/>
      <c r="CM21" s="12"/>
      <c r="CN21" s="16"/>
      <c r="CO21" s="59"/>
      <c r="CP21" s="69"/>
      <c r="CQ21" s="68"/>
      <c r="CR21" s="12"/>
      <c r="CS21" s="12"/>
      <c r="CT21" s="12"/>
      <c r="CU21" s="12"/>
      <c r="CV21" s="15"/>
      <c r="CW21" s="15"/>
      <c r="CX21" s="15"/>
      <c r="CY21" s="61"/>
      <c r="CZ21" s="66"/>
      <c r="DA21" s="12"/>
      <c r="DB21" s="12"/>
      <c r="DC21" s="12"/>
      <c r="DD21" s="12"/>
      <c r="DE21" s="12"/>
      <c r="DF21" s="16"/>
      <c r="DG21" s="59"/>
      <c r="DH21" s="69"/>
      <c r="DI21" s="68"/>
      <c r="DJ21" s="12"/>
      <c r="DK21" s="12"/>
      <c r="DL21" s="12"/>
      <c r="DM21" s="12"/>
      <c r="DN21" s="15"/>
      <c r="DO21" s="15"/>
      <c r="DP21" s="15"/>
      <c r="DQ21" s="61"/>
      <c r="DR21" s="66"/>
      <c r="DS21" s="12"/>
      <c r="DT21" s="12"/>
      <c r="DU21" s="12"/>
      <c r="DV21" s="12"/>
      <c r="DW21" s="12"/>
      <c r="DX21" s="16"/>
      <c r="DY21" s="59"/>
      <c r="DZ21" s="69"/>
      <c r="EA21" s="68"/>
      <c r="EB21" s="12"/>
      <c r="EC21" s="12"/>
      <c r="ED21" s="12"/>
      <c r="EE21" s="15"/>
      <c r="EF21" s="15"/>
      <c r="EG21" s="15"/>
      <c r="EH21" s="61"/>
      <c r="EI21" s="66"/>
      <c r="EJ21" s="12"/>
      <c r="EK21" s="12"/>
      <c r="EL21" s="12"/>
      <c r="EM21" s="12"/>
      <c r="EN21" s="16"/>
      <c r="EO21" s="59"/>
      <c r="EP21" s="69"/>
      <c r="EQ21" s="68"/>
      <c r="ER21" s="12"/>
      <c r="ES21" s="12"/>
      <c r="ET21" s="15"/>
      <c r="EU21" s="15"/>
      <c r="EV21" s="61"/>
      <c r="EW21" s="66"/>
      <c r="EX21" s="12"/>
      <c r="EY21" s="12"/>
      <c r="EZ21" s="16"/>
      <c r="FA21" s="59"/>
      <c r="FB21" s="69"/>
      <c r="FC21" s="68"/>
      <c r="FD21" s="12"/>
      <c r="FE21" s="15"/>
      <c r="FF21" s="15"/>
      <c r="FG21" s="61"/>
      <c r="FH21" s="66"/>
      <c r="FI21" s="12"/>
      <c r="FJ21" s="16"/>
      <c r="FK21" s="59"/>
      <c r="FL21" s="69"/>
      <c r="FM21" s="68"/>
      <c r="FN21" s="12"/>
      <c r="FO21" s="15"/>
      <c r="FP21" s="15"/>
      <c r="FQ21" s="15"/>
      <c r="FR21" s="15"/>
      <c r="FS21" s="61"/>
      <c r="FT21" s="66"/>
      <c r="FU21" s="12"/>
      <c r="FV21" s="12"/>
      <c r="FW21" s="12"/>
      <c r="FX21" s="16"/>
      <c r="FY21" s="59"/>
      <c r="FZ21" s="69"/>
      <c r="GA21" s="68"/>
      <c r="GB21" s="12"/>
      <c r="GC21" s="15"/>
      <c r="GD21" s="15"/>
      <c r="GE21" s="15"/>
      <c r="GF21" s="61"/>
      <c r="GG21" s="66"/>
      <c r="GH21" s="66"/>
      <c r="GI21" s="12"/>
      <c r="GJ21" s="12">
        <f>IF($GA21&lt;&gt;0,GC21*$FZ21/$GA21,0)</f>
        <v>0</v>
      </c>
      <c r="GK21" s="31"/>
      <c r="GL21" s="123"/>
      <c r="GM21" s="410"/>
      <c r="GN21" s="414"/>
      <c r="GO21" s="68"/>
      <c r="GP21" s="12"/>
      <c r="GQ21" s="15"/>
      <c r="GR21" s="15"/>
      <c r="GS21" s="15"/>
      <c r="GT21" s="15"/>
      <c r="GU21" s="61"/>
      <c r="GV21" s="66"/>
      <c r="GW21" s="12"/>
      <c r="GX21" s="12"/>
      <c r="GY21" s="12"/>
      <c r="GZ21" s="16"/>
      <c r="HA21" s="59"/>
      <c r="HB21" s="69"/>
      <c r="HC21" s="68"/>
      <c r="HD21" s="12"/>
      <c r="HE21" s="15"/>
      <c r="HF21" s="15"/>
      <c r="HG21" s="15"/>
      <c r="HH21" s="15"/>
      <c r="HI21" s="15"/>
      <c r="HJ21" s="15"/>
      <c r="HK21" s="15"/>
      <c r="HL21" s="61"/>
      <c r="HM21" s="66"/>
      <c r="HN21" s="12"/>
      <c r="HO21" s="12"/>
      <c r="HP21" s="12"/>
      <c r="HQ21" s="12"/>
      <c r="HR21" s="12"/>
      <c r="HS21" s="12"/>
      <c r="HT21" s="16"/>
      <c r="HU21" s="59"/>
      <c r="HV21" s="69"/>
      <c r="HW21" s="68"/>
      <c r="HX21" s="12"/>
      <c r="HY21" s="15"/>
      <c r="HZ21" s="61"/>
      <c r="IA21" s="66"/>
      <c r="IB21" s="16"/>
      <c r="IC21" s="59"/>
      <c r="ID21" s="69"/>
      <c r="IE21" s="68"/>
      <c r="IF21" s="12"/>
      <c r="IG21" s="15"/>
      <c r="IH21" s="15"/>
      <c r="II21" s="15"/>
      <c r="IJ21" s="15"/>
      <c r="IK21" s="15"/>
      <c r="IL21" s="15"/>
      <c r="IM21" s="15"/>
      <c r="IN21" s="15"/>
      <c r="IO21" s="61"/>
      <c r="IP21" s="66"/>
      <c r="IQ21" s="12"/>
      <c r="IR21" s="12"/>
      <c r="IS21" s="12"/>
      <c r="IT21" s="12"/>
      <c r="IU21" s="12"/>
      <c r="IV21" s="12"/>
      <c r="IW21" s="15"/>
      <c r="IX21" s="16"/>
      <c r="IY21" s="59"/>
      <c r="IZ21" s="69"/>
      <c r="JA21" s="68"/>
      <c r="JB21" s="12"/>
      <c r="JC21" s="15"/>
      <c r="JD21" s="15"/>
      <c r="JE21" s="15"/>
      <c r="JF21" s="15"/>
      <c r="JG21" s="15"/>
      <c r="JH21" s="15"/>
      <c r="JI21" s="15"/>
      <c r="JJ21" s="15"/>
      <c r="JK21" s="61"/>
      <c r="JL21" s="66"/>
      <c r="JM21" s="12">
        <f>IF($JA21&lt;&gt;0,JC21*$IZ21/$JA21,0)</f>
        <v>0</v>
      </c>
      <c r="JN21" s="12"/>
      <c r="JO21" s="12"/>
      <c r="JP21" s="12"/>
      <c r="JQ21" s="12"/>
      <c r="JR21" s="12"/>
      <c r="JS21" s="12"/>
      <c r="JT21" s="16"/>
      <c r="JU21" s="59">
        <f>IZ21-JL21-JM21-JN21-JO21-JP21-JQ21-JR21-JS21-JT21</f>
        <v>0</v>
      </c>
      <c r="JV21" s="69"/>
      <c r="JW21" s="68"/>
      <c r="JX21" s="12"/>
      <c r="JY21" s="12"/>
      <c r="JZ21" s="15"/>
      <c r="KA21" s="15"/>
      <c r="KB21" s="15"/>
      <c r="KC21" s="15"/>
      <c r="KD21" s="15"/>
      <c r="KE21" s="15"/>
      <c r="KF21" s="15"/>
      <c r="KG21" s="61">
        <f>JW21-JX21-JZ21-KA21-KB21-KC21-KD21-KE21-KF21-JY21</f>
        <v>0</v>
      </c>
      <c r="KH21" s="146">
        <f t="shared" ref="KH21:KP21" si="229">IF($JW21&lt;&gt;0,JX21*$JV21/$JW21,0)</f>
        <v>0</v>
      </c>
      <c r="KI21" s="12">
        <f t="shared" si="229"/>
        <v>0</v>
      </c>
      <c r="KJ21" s="12">
        <f t="shared" si="229"/>
        <v>0</v>
      </c>
      <c r="KK21" s="12">
        <f t="shared" si="229"/>
        <v>0</v>
      </c>
      <c r="KL21" s="12">
        <f t="shared" si="229"/>
        <v>0</v>
      </c>
      <c r="KM21" s="12">
        <f t="shared" si="229"/>
        <v>0</v>
      </c>
      <c r="KN21" s="12">
        <f t="shared" si="229"/>
        <v>0</v>
      </c>
      <c r="KO21" s="12">
        <f t="shared" si="229"/>
        <v>0</v>
      </c>
      <c r="KP21" s="16">
        <f t="shared" si="229"/>
        <v>0</v>
      </c>
      <c r="KQ21" s="59">
        <f>JV21-KH21-KJ21-KK21-KL21-KM21-KN21-KO21-KP21-KI21</f>
        <v>0</v>
      </c>
      <c r="KR21" s="69">
        <v>25000</v>
      </c>
      <c r="KS21" s="68">
        <v>1</v>
      </c>
      <c r="KT21" s="12"/>
      <c r="KU21" s="15"/>
      <c r="KV21" s="15"/>
      <c r="KW21" s="15"/>
      <c r="KX21" s="15">
        <v>0.3</v>
      </c>
      <c r="KY21" s="15"/>
      <c r="KZ21" s="15">
        <v>0.25</v>
      </c>
      <c r="LA21" s="15">
        <v>0.25</v>
      </c>
      <c r="LB21" s="61">
        <f>KS21-KT21-KU21-KV21-KW21-KX21-KY21-KZ21-LA21</f>
        <v>0.2</v>
      </c>
      <c r="LC21" s="66">
        <f t="shared" ref="LC21:LJ21" si="230">IF($KS21&lt;&gt;0,KT21*$KR21/$KS21,0)</f>
        <v>0</v>
      </c>
      <c r="LD21" s="12">
        <f t="shared" si="230"/>
        <v>0</v>
      </c>
      <c r="LE21" s="12">
        <f t="shared" si="230"/>
        <v>0</v>
      </c>
      <c r="LF21" s="12">
        <f t="shared" si="230"/>
        <v>0</v>
      </c>
      <c r="LG21" s="12">
        <f t="shared" si="230"/>
        <v>7500</v>
      </c>
      <c r="LH21" s="12">
        <f t="shared" si="230"/>
        <v>0</v>
      </c>
      <c r="LI21" s="12">
        <f t="shared" si="230"/>
        <v>6250</v>
      </c>
      <c r="LJ21" s="16">
        <f t="shared" si="230"/>
        <v>6250</v>
      </c>
      <c r="LK21" s="59">
        <f>KR21-LC21-LD21-LE21-LF21-LG21-LH21-LI21-LJ21</f>
        <v>5000</v>
      </c>
      <c r="LL21" s="69">
        <v>25000</v>
      </c>
      <c r="LM21" s="68">
        <v>1</v>
      </c>
      <c r="LN21" s="15"/>
      <c r="LO21" s="15"/>
      <c r="LP21" s="15"/>
      <c r="LQ21" s="15">
        <v>1</v>
      </c>
      <c r="LR21" s="15"/>
      <c r="LS21" s="15"/>
      <c r="LT21" s="15"/>
      <c r="LU21" s="61">
        <f>LM21-LN21-LO21-LP21-LQ21-LR21-LS21-LT21</f>
        <v>0</v>
      </c>
      <c r="LV21" s="66">
        <f t="shared" ref="LV21:MB21" si="231">IF($LM21&lt;&gt;0,LN21*$LL21/$LM21,0)</f>
        <v>0</v>
      </c>
      <c r="LW21" s="12">
        <f t="shared" si="231"/>
        <v>0</v>
      </c>
      <c r="LX21" s="12">
        <f t="shared" si="231"/>
        <v>0</v>
      </c>
      <c r="LY21" s="12">
        <f t="shared" si="231"/>
        <v>25000</v>
      </c>
      <c r="LZ21" s="12">
        <f t="shared" si="231"/>
        <v>0</v>
      </c>
      <c r="MA21" s="12">
        <f t="shared" si="231"/>
        <v>0</v>
      </c>
      <c r="MB21" s="16">
        <f t="shared" si="231"/>
        <v>0</v>
      </c>
      <c r="MC21" s="59">
        <f>LL21-LV21-LW21-LX21-LY21-LZ21-MA21-MB21</f>
        <v>0</v>
      </c>
      <c r="MD21" s="69">
        <v>25000</v>
      </c>
      <c r="ME21" s="68">
        <v>1</v>
      </c>
      <c r="MF21" s="15"/>
      <c r="MG21" s="15"/>
      <c r="MH21" s="15">
        <v>1</v>
      </c>
      <c r="MI21" s="15"/>
      <c r="MJ21" s="15"/>
      <c r="MK21" s="15"/>
      <c r="ML21" s="15"/>
      <c r="MM21" s="61">
        <f t="shared" si="111"/>
        <v>0</v>
      </c>
      <c r="MN21" s="66">
        <f t="shared" ref="MN21:MT21" si="232">IF($ME21&lt;&gt;0,MF21*$MD21/$ME21,0)</f>
        <v>0</v>
      </c>
      <c r="MO21" s="12">
        <f t="shared" si="232"/>
        <v>0</v>
      </c>
      <c r="MP21" s="12">
        <f t="shared" si="232"/>
        <v>25000</v>
      </c>
      <c r="MQ21" s="12">
        <f t="shared" si="232"/>
        <v>0</v>
      </c>
      <c r="MR21" s="12">
        <f t="shared" si="232"/>
        <v>0</v>
      </c>
      <c r="MS21" s="12">
        <f t="shared" si="232"/>
        <v>0</v>
      </c>
      <c r="MT21" s="16">
        <f t="shared" si="232"/>
        <v>0</v>
      </c>
      <c r="MU21" s="59">
        <f t="shared" si="189"/>
        <v>0</v>
      </c>
      <c r="MV21" s="620">
        <v>25000</v>
      </c>
      <c r="MW21" s="619">
        <v>1</v>
      </c>
      <c r="MX21" s="15"/>
      <c r="MY21" s="15"/>
      <c r="MZ21" s="15">
        <v>1</v>
      </c>
      <c r="NA21" s="15"/>
      <c r="NB21" s="15"/>
      <c r="NC21" s="15"/>
      <c r="ND21" s="15"/>
      <c r="NE21" s="61">
        <f t="shared" si="118"/>
        <v>0</v>
      </c>
      <c r="NF21" s="66">
        <f t="shared" ref="NF21:NL21" si="233">IF($MW21&lt;&gt;0,MX21*$MV21/$MW21,0)</f>
        <v>0</v>
      </c>
      <c r="NG21" s="12">
        <f t="shared" si="233"/>
        <v>0</v>
      </c>
      <c r="NH21" s="12">
        <f t="shared" si="233"/>
        <v>25000</v>
      </c>
      <c r="NI21" s="12">
        <f t="shared" si="233"/>
        <v>0</v>
      </c>
      <c r="NJ21" s="12">
        <f t="shared" si="233"/>
        <v>0</v>
      </c>
      <c r="NK21" s="12">
        <f t="shared" si="233"/>
        <v>0</v>
      </c>
      <c r="NL21" s="16">
        <f t="shared" si="233"/>
        <v>0</v>
      </c>
      <c r="NM21" s="59">
        <f t="shared" si="125"/>
        <v>0</v>
      </c>
      <c r="NN21" s="620">
        <v>25000</v>
      </c>
      <c r="NO21" s="619">
        <v>1</v>
      </c>
      <c r="NP21" s="15"/>
      <c r="NQ21" s="15">
        <v>1</v>
      </c>
      <c r="NR21" s="15"/>
      <c r="NS21" s="15"/>
      <c r="NT21" s="15"/>
      <c r="NU21" s="61">
        <f t="shared" si="126"/>
        <v>0</v>
      </c>
      <c r="NV21" s="66">
        <f t="shared" si="190"/>
        <v>0</v>
      </c>
      <c r="NW21" s="12">
        <f t="shared" si="209"/>
        <v>25000</v>
      </c>
      <c r="NX21" s="12">
        <f t="shared" si="210"/>
        <v>0</v>
      </c>
      <c r="NY21" s="12">
        <f t="shared" si="211"/>
        <v>0</v>
      </c>
      <c r="NZ21" s="16">
        <f t="shared" si="212"/>
        <v>0</v>
      </c>
      <c r="OA21" s="59">
        <f t="shared" si="131"/>
        <v>0</v>
      </c>
      <c r="OB21" s="134">
        <v>25000</v>
      </c>
      <c r="OC21" s="133">
        <v>1</v>
      </c>
      <c r="OD21" s="15"/>
      <c r="OE21" s="15">
        <v>1</v>
      </c>
      <c r="OF21" s="15"/>
      <c r="OG21" s="15"/>
      <c r="OH21" s="15"/>
      <c r="OI21" s="61">
        <f t="shared" si="163"/>
        <v>0</v>
      </c>
      <c r="OJ21" s="66">
        <f t="shared" si="132"/>
        <v>0</v>
      </c>
      <c r="OK21" s="12">
        <f t="shared" si="133"/>
        <v>25000</v>
      </c>
      <c r="OL21" s="12">
        <f t="shared" si="134"/>
        <v>0</v>
      </c>
      <c r="OM21" s="12">
        <f t="shared" si="135"/>
        <v>0</v>
      </c>
      <c r="ON21" s="16">
        <f t="shared" si="136"/>
        <v>0</v>
      </c>
      <c r="OO21" s="59">
        <f t="shared" si="137"/>
        <v>0</v>
      </c>
      <c r="OP21" s="134">
        <v>25000</v>
      </c>
      <c r="OQ21" s="133">
        <v>1</v>
      </c>
      <c r="OR21" s="15"/>
      <c r="OS21" s="15">
        <v>0.5</v>
      </c>
      <c r="OT21" s="15"/>
      <c r="OU21" s="15"/>
      <c r="OV21" s="15"/>
      <c r="OW21" s="61">
        <f t="shared" si="138"/>
        <v>0.5</v>
      </c>
      <c r="OX21" s="66">
        <f t="shared" si="139"/>
        <v>0</v>
      </c>
      <c r="OY21" s="12">
        <f t="shared" si="140"/>
        <v>12500</v>
      </c>
      <c r="OZ21" s="12">
        <f t="shared" si="141"/>
        <v>0</v>
      </c>
      <c r="PA21" s="12">
        <f t="shared" si="142"/>
        <v>0</v>
      </c>
      <c r="PB21" s="16">
        <f t="shared" si="143"/>
        <v>0</v>
      </c>
      <c r="PC21" s="59">
        <f t="shared" si="144"/>
        <v>12500</v>
      </c>
      <c r="PD21" s="134">
        <v>25000</v>
      </c>
      <c r="PE21" s="133">
        <v>1</v>
      </c>
      <c r="PF21" s="15"/>
      <c r="PG21" s="15"/>
      <c r="PH21" s="15"/>
      <c r="PI21" s="15"/>
      <c r="PJ21" s="15"/>
      <c r="PK21" s="61">
        <f t="shared" si="145"/>
        <v>1</v>
      </c>
      <c r="PL21" s="66">
        <f t="shared" si="174"/>
        <v>0</v>
      </c>
      <c r="PM21" s="12">
        <f t="shared" si="175"/>
        <v>0</v>
      </c>
      <c r="PN21" s="12">
        <f t="shared" si="176"/>
        <v>0</v>
      </c>
      <c r="PO21" s="12">
        <f t="shared" si="177"/>
        <v>0</v>
      </c>
      <c r="PP21" s="16">
        <f t="shared" si="178"/>
        <v>0</v>
      </c>
      <c r="PQ21" s="59">
        <f t="shared" si="150"/>
        <v>25000</v>
      </c>
      <c r="PS21" s="885">
        <f t="shared" si="151"/>
        <v>0.25</v>
      </c>
    </row>
    <row r="22" spans="2:435" x14ac:dyDescent="0.2">
      <c r="B22" s="24">
        <v>16</v>
      </c>
      <c r="C22" s="70" t="s">
        <v>42</v>
      </c>
      <c r="D22" s="26"/>
      <c r="E22" s="42"/>
      <c r="F22" s="31"/>
      <c r="G22" s="12"/>
      <c r="H22" s="12"/>
      <c r="I22" s="12"/>
      <c r="J22" s="12"/>
      <c r="K22" s="12"/>
      <c r="L22" s="15"/>
      <c r="M22" s="61">
        <f t="shared" si="41"/>
        <v>0</v>
      </c>
      <c r="N22" s="31">
        <f t="shared" si="0"/>
        <v>0</v>
      </c>
      <c r="O22" s="12">
        <f t="shared" si="0"/>
        <v>0</v>
      </c>
      <c r="P22" s="12">
        <f t="shared" si="0"/>
        <v>0</v>
      </c>
      <c r="Q22" s="12">
        <f t="shared" si="0"/>
        <v>0</v>
      </c>
      <c r="R22" s="12">
        <f t="shared" si="0"/>
        <v>0</v>
      </c>
      <c r="S22" s="12">
        <f t="shared" si="0"/>
        <v>0</v>
      </c>
      <c r="T22" s="15">
        <f t="shared" si="0"/>
        <v>0</v>
      </c>
      <c r="U22" s="59">
        <f t="shared" si="191"/>
        <v>0</v>
      </c>
      <c r="V22" s="26"/>
      <c r="W22" s="42"/>
      <c r="X22" s="31"/>
      <c r="Y22" s="12"/>
      <c r="Z22" s="12"/>
      <c r="AA22" s="12"/>
      <c r="AB22" s="12"/>
      <c r="AC22" s="12"/>
      <c r="AD22" s="15"/>
      <c r="AE22" s="15"/>
      <c r="AF22" s="61">
        <f t="shared" si="42"/>
        <v>0</v>
      </c>
      <c r="AG22" s="35">
        <f t="shared" si="43"/>
        <v>0</v>
      </c>
      <c r="AH22" s="35">
        <f t="shared" si="1"/>
        <v>0</v>
      </c>
      <c r="AI22" s="35">
        <f t="shared" si="1"/>
        <v>0</v>
      </c>
      <c r="AJ22" s="35">
        <f t="shared" si="1"/>
        <v>0</v>
      </c>
      <c r="AK22" s="35">
        <f t="shared" si="1"/>
        <v>0</v>
      </c>
      <c r="AL22" s="35">
        <f t="shared" si="1"/>
        <v>0</v>
      </c>
      <c r="AM22" s="35">
        <f t="shared" si="1"/>
        <v>0</v>
      </c>
      <c r="AN22" s="35">
        <f t="shared" si="1"/>
        <v>0</v>
      </c>
      <c r="AO22" s="62">
        <f t="shared" si="44"/>
        <v>0</v>
      </c>
      <c r="AP22" s="26"/>
      <c r="AQ22" s="42"/>
      <c r="AR22" s="12"/>
      <c r="AS22" s="12"/>
      <c r="AT22" s="12"/>
      <c r="AU22" s="12"/>
      <c r="AV22" s="15"/>
      <c r="AW22" s="15"/>
      <c r="AX22" s="61">
        <f t="shared" si="45"/>
        <v>0</v>
      </c>
      <c r="AY22" s="35">
        <f t="shared" si="2"/>
        <v>0</v>
      </c>
      <c r="AZ22" s="35">
        <f t="shared" si="2"/>
        <v>0</v>
      </c>
      <c r="BA22" s="35">
        <f t="shared" si="2"/>
        <v>0</v>
      </c>
      <c r="BB22" s="35">
        <f t="shared" si="2"/>
        <v>0</v>
      </c>
      <c r="BC22" s="35">
        <f t="shared" si="2"/>
        <v>0</v>
      </c>
      <c r="BD22" s="34">
        <f t="shared" si="2"/>
        <v>0</v>
      </c>
      <c r="BE22" s="59">
        <f t="shared" si="46"/>
        <v>0</v>
      </c>
      <c r="BF22" s="26">
        <v>15000</v>
      </c>
      <c r="BG22" s="42">
        <v>0.5</v>
      </c>
      <c r="BH22" s="12"/>
      <c r="BI22" s="12"/>
      <c r="BJ22" s="12"/>
      <c r="BK22" s="12"/>
      <c r="BL22" s="15">
        <v>0.5</v>
      </c>
      <c r="BM22" s="15"/>
      <c r="BN22" s="15"/>
      <c r="BO22" s="61">
        <f t="shared" si="3"/>
        <v>0</v>
      </c>
      <c r="BP22" s="65">
        <f t="shared" si="4"/>
        <v>0</v>
      </c>
      <c r="BQ22" s="33">
        <f t="shared" si="4"/>
        <v>0</v>
      </c>
      <c r="BR22" s="33">
        <f t="shared" si="4"/>
        <v>0</v>
      </c>
      <c r="BS22" s="33">
        <f t="shared" si="4"/>
        <v>0</v>
      </c>
      <c r="BT22" s="33">
        <f t="shared" si="4"/>
        <v>15000</v>
      </c>
      <c r="BU22" s="33">
        <f t="shared" si="4"/>
        <v>0</v>
      </c>
      <c r="BV22" s="34">
        <f t="shared" si="4"/>
        <v>0</v>
      </c>
      <c r="BW22" s="59">
        <f t="shared" si="192"/>
        <v>0</v>
      </c>
      <c r="BX22" s="69">
        <v>15000</v>
      </c>
      <c r="BY22" s="68">
        <v>0.5</v>
      </c>
      <c r="BZ22" s="31"/>
      <c r="CA22" s="12"/>
      <c r="CB22" s="12"/>
      <c r="CC22" s="12"/>
      <c r="CD22" s="15">
        <v>0.5</v>
      </c>
      <c r="CE22" s="15"/>
      <c r="CF22" s="15"/>
      <c r="CG22" s="61">
        <f t="shared" si="5"/>
        <v>0</v>
      </c>
      <c r="CH22" s="66">
        <f t="shared" si="47"/>
        <v>0</v>
      </c>
      <c r="CI22" s="12">
        <f t="shared" si="6"/>
        <v>0</v>
      </c>
      <c r="CJ22" s="12">
        <f t="shared" si="6"/>
        <v>0</v>
      </c>
      <c r="CK22" s="12">
        <f t="shared" si="6"/>
        <v>0</v>
      </c>
      <c r="CL22" s="12">
        <f t="shared" si="6"/>
        <v>15000</v>
      </c>
      <c r="CM22" s="12">
        <f t="shared" si="6"/>
        <v>0</v>
      </c>
      <c r="CN22" s="16">
        <f t="shared" si="6"/>
        <v>0</v>
      </c>
      <c r="CO22" s="59">
        <f t="shared" si="193"/>
        <v>0</v>
      </c>
      <c r="CP22" s="69">
        <v>15000</v>
      </c>
      <c r="CQ22" s="68">
        <v>0.5</v>
      </c>
      <c r="CR22" s="12"/>
      <c r="CS22" s="12"/>
      <c r="CT22" s="12"/>
      <c r="CU22" s="12"/>
      <c r="CV22" s="15">
        <v>0.5</v>
      </c>
      <c r="CW22" s="15"/>
      <c r="CX22" s="15"/>
      <c r="CY22" s="61">
        <f t="shared" si="7"/>
        <v>0</v>
      </c>
      <c r="CZ22" s="66">
        <f t="shared" si="194"/>
        <v>0</v>
      </c>
      <c r="DA22" s="12">
        <f t="shared" si="8"/>
        <v>0</v>
      </c>
      <c r="DB22" s="12">
        <f t="shared" si="8"/>
        <v>0</v>
      </c>
      <c r="DC22" s="12">
        <f t="shared" si="8"/>
        <v>0</v>
      </c>
      <c r="DD22" s="12">
        <f t="shared" si="8"/>
        <v>15000</v>
      </c>
      <c r="DE22" s="12">
        <f t="shared" si="8"/>
        <v>0</v>
      </c>
      <c r="DF22" s="16">
        <f t="shared" si="8"/>
        <v>0</v>
      </c>
      <c r="DG22" s="59">
        <f t="shared" si="195"/>
        <v>0</v>
      </c>
      <c r="DH22" s="69">
        <v>15000</v>
      </c>
      <c r="DI22" s="68">
        <v>0.5</v>
      </c>
      <c r="DJ22" s="12"/>
      <c r="DK22" s="12"/>
      <c r="DL22" s="12"/>
      <c r="DM22" s="12"/>
      <c r="DN22" s="15">
        <v>0.5</v>
      </c>
      <c r="DO22" s="15"/>
      <c r="DP22" s="15"/>
      <c r="DQ22" s="61">
        <f t="shared" si="9"/>
        <v>0</v>
      </c>
      <c r="DR22" s="66">
        <f t="shared" si="48"/>
        <v>0</v>
      </c>
      <c r="DS22" s="12">
        <f t="shared" si="10"/>
        <v>0</v>
      </c>
      <c r="DT22" s="12">
        <f t="shared" si="10"/>
        <v>0</v>
      </c>
      <c r="DU22" s="12">
        <f t="shared" si="10"/>
        <v>0</v>
      </c>
      <c r="DV22" s="12">
        <f t="shared" si="10"/>
        <v>15000</v>
      </c>
      <c r="DW22" s="12">
        <f t="shared" si="10"/>
        <v>0</v>
      </c>
      <c r="DX22" s="16">
        <f t="shared" si="10"/>
        <v>0</v>
      </c>
      <c r="DY22" s="59">
        <f t="shared" si="196"/>
        <v>0</v>
      </c>
      <c r="DZ22" s="69">
        <v>15000</v>
      </c>
      <c r="EA22" s="68">
        <v>0.5</v>
      </c>
      <c r="EB22" s="12"/>
      <c r="EC22" s="12"/>
      <c r="ED22" s="12"/>
      <c r="EE22" s="15"/>
      <c r="EF22" s="15"/>
      <c r="EG22" s="15">
        <v>0.5</v>
      </c>
      <c r="EH22" s="61">
        <f t="shared" si="197"/>
        <v>0</v>
      </c>
      <c r="EI22" s="66">
        <f t="shared" si="11"/>
        <v>0</v>
      </c>
      <c r="EJ22" s="12">
        <f t="shared" si="11"/>
        <v>0</v>
      </c>
      <c r="EK22" s="12">
        <f t="shared" si="11"/>
        <v>0</v>
      </c>
      <c r="EL22" s="12">
        <f t="shared" si="11"/>
        <v>0</v>
      </c>
      <c r="EM22" s="12">
        <f t="shared" si="11"/>
        <v>0</v>
      </c>
      <c r="EN22" s="16">
        <f t="shared" si="11"/>
        <v>15000</v>
      </c>
      <c r="EO22" s="59">
        <f t="shared" si="198"/>
        <v>0</v>
      </c>
      <c r="EP22" s="69">
        <v>15000</v>
      </c>
      <c r="EQ22" s="68">
        <v>0.5</v>
      </c>
      <c r="ER22" s="12"/>
      <c r="ES22" s="12"/>
      <c r="ET22" s="15"/>
      <c r="EU22" s="15">
        <v>0.5</v>
      </c>
      <c r="EV22" s="61">
        <f t="shared" si="199"/>
        <v>0</v>
      </c>
      <c r="EW22" s="66">
        <f t="shared" si="49"/>
        <v>0</v>
      </c>
      <c r="EX22" s="12">
        <f t="shared" si="49"/>
        <v>0</v>
      </c>
      <c r="EY22" s="12">
        <f t="shared" si="49"/>
        <v>0</v>
      </c>
      <c r="EZ22" s="16">
        <f t="shared" si="49"/>
        <v>15000</v>
      </c>
      <c r="FA22" s="59">
        <f t="shared" si="200"/>
        <v>0</v>
      </c>
      <c r="FB22" s="69">
        <v>15000</v>
      </c>
      <c r="FC22" s="68">
        <v>0.5</v>
      </c>
      <c r="FD22" s="12"/>
      <c r="FE22" s="15"/>
      <c r="FF22" s="15">
        <v>0.5</v>
      </c>
      <c r="FG22" s="61">
        <f t="shared" si="201"/>
        <v>0</v>
      </c>
      <c r="FH22" s="66">
        <f t="shared" si="50"/>
        <v>0</v>
      </c>
      <c r="FI22" s="12">
        <f t="shared" si="50"/>
        <v>0</v>
      </c>
      <c r="FJ22" s="16">
        <f t="shared" si="50"/>
        <v>15000</v>
      </c>
      <c r="FK22" s="59">
        <f t="shared" si="202"/>
        <v>0</v>
      </c>
      <c r="FL22" s="69">
        <v>15000</v>
      </c>
      <c r="FM22" s="68">
        <v>0.5</v>
      </c>
      <c r="FN22" s="12"/>
      <c r="FO22" s="15"/>
      <c r="FP22" s="15"/>
      <c r="FQ22" s="15"/>
      <c r="FR22" s="15">
        <v>0.5</v>
      </c>
      <c r="FS22" s="61">
        <f t="shared" si="203"/>
        <v>0</v>
      </c>
      <c r="FT22" s="66">
        <f t="shared" si="204"/>
        <v>0</v>
      </c>
      <c r="FU22" s="12">
        <f t="shared" si="205"/>
        <v>0</v>
      </c>
      <c r="FV22" s="12">
        <f t="shared" si="206"/>
        <v>0</v>
      </c>
      <c r="FW22" s="12">
        <f t="shared" si="207"/>
        <v>0</v>
      </c>
      <c r="FX22" s="16">
        <f t="shared" si="51"/>
        <v>15000</v>
      </c>
      <c r="FY22" s="59">
        <f t="shared" si="52"/>
        <v>0</v>
      </c>
      <c r="FZ22" s="69">
        <v>15000</v>
      </c>
      <c r="GA22" s="68">
        <v>0.5</v>
      </c>
      <c r="GB22" s="12">
        <v>0.5</v>
      </c>
      <c r="GC22" s="15"/>
      <c r="GD22" s="15"/>
      <c r="GE22" s="15"/>
      <c r="GF22" s="61">
        <f t="shared" si="208"/>
        <v>0</v>
      </c>
      <c r="GG22" s="66">
        <f t="shared" si="53"/>
        <v>15000</v>
      </c>
      <c r="GH22" s="66">
        <f t="shared" si="12"/>
        <v>15000</v>
      </c>
      <c r="GI22" s="12">
        <f t="shared" si="13"/>
        <v>0</v>
      </c>
      <c r="GJ22" s="12">
        <f t="shared" si="179"/>
        <v>0</v>
      </c>
      <c r="GK22" s="31">
        <f t="shared" si="14"/>
        <v>0</v>
      </c>
      <c r="GL22" s="123">
        <f t="shared" si="15"/>
        <v>0</v>
      </c>
      <c r="GM22" s="410">
        <f t="shared" si="16"/>
        <v>0</v>
      </c>
      <c r="GN22" s="414">
        <v>15000</v>
      </c>
      <c r="GO22" s="68">
        <v>0.5</v>
      </c>
      <c r="GP22" s="12">
        <v>0.5</v>
      </c>
      <c r="GQ22" s="15"/>
      <c r="GR22" s="15"/>
      <c r="GS22" s="15"/>
      <c r="GT22" s="15"/>
      <c r="GU22" s="61">
        <f t="shared" si="54"/>
        <v>0</v>
      </c>
      <c r="GV22" s="66">
        <f t="shared" si="17"/>
        <v>15000</v>
      </c>
      <c r="GW22" s="12">
        <f t="shared" si="18"/>
        <v>0</v>
      </c>
      <c r="GX22" s="12">
        <f t="shared" si="19"/>
        <v>0</v>
      </c>
      <c r="GY22" s="12">
        <f t="shared" si="20"/>
        <v>0</v>
      </c>
      <c r="GZ22" s="16">
        <f t="shared" si="21"/>
        <v>0</v>
      </c>
      <c r="HA22" s="59">
        <f t="shared" si="55"/>
        <v>0</v>
      </c>
      <c r="HB22" s="69">
        <v>25000</v>
      </c>
      <c r="HC22" s="68">
        <v>0.5</v>
      </c>
      <c r="HD22" s="12"/>
      <c r="HE22" s="15"/>
      <c r="HF22" s="15"/>
      <c r="HG22" s="15"/>
      <c r="HH22" s="15"/>
      <c r="HI22" s="15">
        <v>0.5</v>
      </c>
      <c r="HJ22" s="15"/>
      <c r="HK22" s="15"/>
      <c r="HL22" s="61">
        <f t="shared" si="56"/>
        <v>0</v>
      </c>
      <c r="HM22" s="66">
        <f t="shared" si="22"/>
        <v>0</v>
      </c>
      <c r="HN22" s="12">
        <f t="shared" si="23"/>
        <v>0</v>
      </c>
      <c r="HO22" s="12">
        <f t="shared" si="24"/>
        <v>0</v>
      </c>
      <c r="HP22" s="12">
        <f t="shared" si="25"/>
        <v>0</v>
      </c>
      <c r="HQ22" s="12">
        <f t="shared" si="26"/>
        <v>0</v>
      </c>
      <c r="HR22" s="12">
        <f t="shared" si="27"/>
        <v>25000</v>
      </c>
      <c r="HS22" s="12">
        <f t="shared" si="28"/>
        <v>0</v>
      </c>
      <c r="HT22" s="16">
        <f t="shared" si="29"/>
        <v>0</v>
      </c>
      <c r="HU22" s="59">
        <f t="shared" si="57"/>
        <v>0</v>
      </c>
      <c r="HV22" s="69">
        <v>15000</v>
      </c>
      <c r="HW22" s="68">
        <v>0.5</v>
      </c>
      <c r="HX22" s="12"/>
      <c r="HY22" s="15"/>
      <c r="HZ22" s="61">
        <f t="shared" si="58"/>
        <v>0.5</v>
      </c>
      <c r="IA22" s="66">
        <f t="shared" si="59"/>
        <v>0</v>
      </c>
      <c r="IB22" s="16">
        <f t="shared" si="59"/>
        <v>0</v>
      </c>
      <c r="IC22" s="59">
        <f t="shared" si="60"/>
        <v>15000</v>
      </c>
      <c r="ID22" s="129">
        <f>1190.48+15151.64</f>
        <v>16342.12</v>
      </c>
      <c r="IE22" s="68">
        <v>0.5</v>
      </c>
      <c r="IF22" s="12"/>
      <c r="IG22" s="15"/>
      <c r="IH22" s="15"/>
      <c r="II22" s="15"/>
      <c r="IJ22" s="15"/>
      <c r="IK22" s="15">
        <v>0.5</v>
      </c>
      <c r="IL22" s="15"/>
      <c r="IM22" s="15"/>
      <c r="IN22" s="15"/>
      <c r="IO22" s="61">
        <f t="shared" si="61"/>
        <v>0</v>
      </c>
      <c r="IP22" s="66">
        <f t="shared" si="62"/>
        <v>0</v>
      </c>
      <c r="IQ22" s="12">
        <f t="shared" si="63"/>
        <v>0</v>
      </c>
      <c r="IR22" s="12">
        <f t="shared" si="64"/>
        <v>0</v>
      </c>
      <c r="IS22" s="12">
        <f t="shared" si="65"/>
        <v>0</v>
      </c>
      <c r="IT22" s="12">
        <f t="shared" si="66"/>
        <v>0</v>
      </c>
      <c r="IU22" s="12">
        <f t="shared" si="67"/>
        <v>16342.12</v>
      </c>
      <c r="IV22" s="12">
        <f t="shared" si="68"/>
        <v>0</v>
      </c>
      <c r="IW22" s="15">
        <f t="shared" si="69"/>
        <v>0</v>
      </c>
      <c r="IX22" s="16">
        <f t="shared" si="69"/>
        <v>0</v>
      </c>
      <c r="IY22" s="59">
        <f t="shared" si="70"/>
        <v>0</v>
      </c>
      <c r="IZ22" s="129">
        <v>25000</v>
      </c>
      <c r="JA22" s="68">
        <v>0.5</v>
      </c>
      <c r="JB22" s="12"/>
      <c r="JC22" s="15"/>
      <c r="JD22" s="15"/>
      <c r="JE22" s="15"/>
      <c r="JF22" s="15"/>
      <c r="JG22" s="15">
        <v>0.5</v>
      </c>
      <c r="JH22" s="15"/>
      <c r="JI22" s="15"/>
      <c r="JJ22" s="15"/>
      <c r="JK22" s="61">
        <f t="shared" si="71"/>
        <v>0</v>
      </c>
      <c r="JL22" s="66">
        <f t="shared" si="72"/>
        <v>0</v>
      </c>
      <c r="JM22" s="12">
        <f t="shared" si="73"/>
        <v>0</v>
      </c>
      <c r="JN22" s="12">
        <f t="shared" si="74"/>
        <v>0</v>
      </c>
      <c r="JO22" s="12">
        <f t="shared" si="75"/>
        <v>0</v>
      </c>
      <c r="JP22" s="12">
        <f t="shared" si="76"/>
        <v>0</v>
      </c>
      <c r="JQ22" s="12">
        <f t="shared" si="77"/>
        <v>25000</v>
      </c>
      <c r="JR22" s="12">
        <f t="shared" si="78"/>
        <v>0</v>
      </c>
      <c r="JS22" s="12">
        <f t="shared" si="79"/>
        <v>0</v>
      </c>
      <c r="JT22" s="16">
        <f t="shared" si="80"/>
        <v>0</v>
      </c>
      <c r="JU22" s="59">
        <f t="shared" si="81"/>
        <v>0</v>
      </c>
      <c r="JV22" s="129">
        <v>25000</v>
      </c>
      <c r="JW22" s="68">
        <v>0.5</v>
      </c>
      <c r="JX22" s="12"/>
      <c r="JY22" s="12"/>
      <c r="JZ22" s="15"/>
      <c r="KA22" s="15">
        <v>0.5</v>
      </c>
      <c r="KB22" s="15"/>
      <c r="KC22" s="15"/>
      <c r="KD22" s="15"/>
      <c r="KE22" s="15"/>
      <c r="KF22" s="15"/>
      <c r="KG22" s="61">
        <f t="shared" si="82"/>
        <v>0</v>
      </c>
      <c r="KH22" s="146">
        <f t="shared" si="83"/>
        <v>0</v>
      </c>
      <c r="KI22" s="12">
        <f t="shared" si="83"/>
        <v>0</v>
      </c>
      <c r="KJ22" s="12">
        <f t="shared" si="84"/>
        <v>0</v>
      </c>
      <c r="KK22" s="12">
        <f t="shared" si="85"/>
        <v>25000</v>
      </c>
      <c r="KL22" s="12">
        <f t="shared" si="86"/>
        <v>0</v>
      </c>
      <c r="KM22" s="12">
        <f t="shared" si="87"/>
        <v>0</v>
      </c>
      <c r="KN22" s="12">
        <f t="shared" si="88"/>
        <v>0</v>
      </c>
      <c r="KO22" s="12">
        <f t="shared" si="89"/>
        <v>0</v>
      </c>
      <c r="KP22" s="16">
        <f t="shared" si="90"/>
        <v>0</v>
      </c>
      <c r="KQ22" s="59">
        <f t="shared" si="91"/>
        <v>0</v>
      </c>
      <c r="KR22" s="129">
        <v>25000</v>
      </c>
      <c r="KS22" s="68">
        <v>0.5</v>
      </c>
      <c r="KT22" s="12"/>
      <c r="KU22" s="15"/>
      <c r="KV22" s="15">
        <v>0.5</v>
      </c>
      <c r="KW22" s="15"/>
      <c r="KX22" s="15"/>
      <c r="KY22" s="15"/>
      <c r="KZ22" s="15"/>
      <c r="LA22" s="15"/>
      <c r="LB22" s="61">
        <f t="shared" si="92"/>
        <v>0</v>
      </c>
      <c r="LC22" s="66">
        <f t="shared" si="93"/>
        <v>0</v>
      </c>
      <c r="LD22" s="12">
        <f t="shared" si="94"/>
        <v>0</v>
      </c>
      <c r="LE22" s="12">
        <f t="shared" si="95"/>
        <v>25000</v>
      </c>
      <c r="LF22" s="12">
        <f t="shared" si="96"/>
        <v>0</v>
      </c>
      <c r="LG22" s="12">
        <f t="shared" si="97"/>
        <v>0</v>
      </c>
      <c r="LH22" s="12">
        <f t="shared" si="98"/>
        <v>0</v>
      </c>
      <c r="LI22" s="12">
        <f t="shared" si="99"/>
        <v>0</v>
      </c>
      <c r="LJ22" s="16">
        <f t="shared" si="100"/>
        <v>0</v>
      </c>
      <c r="LK22" s="59">
        <f t="shared" si="101"/>
        <v>0</v>
      </c>
      <c r="LL22" s="129">
        <v>25000</v>
      </c>
      <c r="LM22" s="68">
        <v>0.5</v>
      </c>
      <c r="LN22" s="15"/>
      <c r="LO22" s="15">
        <v>0.25</v>
      </c>
      <c r="LP22" s="15"/>
      <c r="LQ22" s="15">
        <v>0.25</v>
      </c>
      <c r="LR22" s="15"/>
      <c r="LS22" s="15"/>
      <c r="LT22" s="15"/>
      <c r="LU22" s="61">
        <f t="shared" si="102"/>
        <v>0</v>
      </c>
      <c r="LV22" s="66">
        <f t="shared" si="103"/>
        <v>0</v>
      </c>
      <c r="LW22" s="12">
        <f t="shared" si="104"/>
        <v>12500</v>
      </c>
      <c r="LX22" s="12">
        <f t="shared" si="105"/>
        <v>0</v>
      </c>
      <c r="LY22" s="12">
        <f t="shared" si="106"/>
        <v>12500</v>
      </c>
      <c r="LZ22" s="12">
        <f t="shared" si="107"/>
        <v>0</v>
      </c>
      <c r="MA22" s="12">
        <f t="shared" si="108"/>
        <v>0</v>
      </c>
      <c r="MB22" s="16">
        <f t="shared" si="109"/>
        <v>0</v>
      </c>
      <c r="MC22" s="59">
        <f t="shared" si="110"/>
        <v>0</v>
      </c>
      <c r="MD22" s="129">
        <v>25000</v>
      </c>
      <c r="ME22" s="68">
        <v>0.5</v>
      </c>
      <c r="MF22" s="15"/>
      <c r="MG22" s="15"/>
      <c r="MH22" s="15">
        <v>0.5</v>
      </c>
      <c r="MI22" s="15"/>
      <c r="MJ22" s="15"/>
      <c r="MK22" s="15"/>
      <c r="ML22" s="15"/>
      <c r="MM22" s="61">
        <f t="shared" si="111"/>
        <v>0</v>
      </c>
      <c r="MN22" s="66">
        <f t="shared" si="112"/>
        <v>0</v>
      </c>
      <c r="MO22" s="12">
        <f t="shared" si="113"/>
        <v>0</v>
      </c>
      <c r="MP22" s="12">
        <f t="shared" si="114"/>
        <v>25000</v>
      </c>
      <c r="MQ22" s="12">
        <f t="shared" si="115"/>
        <v>0</v>
      </c>
      <c r="MR22" s="12">
        <f t="shared" si="116"/>
        <v>0</v>
      </c>
      <c r="MS22" s="12">
        <f t="shared" si="116"/>
        <v>0</v>
      </c>
      <c r="MT22" s="16">
        <f t="shared" si="117"/>
        <v>0</v>
      </c>
      <c r="MU22" s="59">
        <f t="shared" si="189"/>
        <v>0</v>
      </c>
      <c r="MV22" s="617">
        <v>25000</v>
      </c>
      <c r="MW22" s="619">
        <v>0.5</v>
      </c>
      <c r="MX22" s="15"/>
      <c r="MY22" s="15"/>
      <c r="MZ22" s="15">
        <v>0.5</v>
      </c>
      <c r="NA22" s="15"/>
      <c r="NB22" s="15"/>
      <c r="NC22" s="15"/>
      <c r="ND22" s="15"/>
      <c r="NE22" s="61">
        <f t="shared" si="118"/>
        <v>0</v>
      </c>
      <c r="NF22" s="66">
        <f t="shared" si="119"/>
        <v>0</v>
      </c>
      <c r="NG22" s="12">
        <f t="shared" si="120"/>
        <v>0</v>
      </c>
      <c r="NH22" s="12">
        <f t="shared" si="121"/>
        <v>25000</v>
      </c>
      <c r="NI22" s="12">
        <f t="shared" si="122"/>
        <v>0</v>
      </c>
      <c r="NJ22" s="12">
        <f t="shared" si="123"/>
        <v>0</v>
      </c>
      <c r="NK22" s="12">
        <f t="shared" si="123"/>
        <v>0</v>
      </c>
      <c r="NL22" s="16">
        <f t="shared" si="124"/>
        <v>0</v>
      </c>
      <c r="NM22" s="59">
        <f t="shared" si="125"/>
        <v>0</v>
      </c>
      <c r="NN22" s="617">
        <v>25000</v>
      </c>
      <c r="NO22" s="619">
        <v>0.5</v>
      </c>
      <c r="NP22" s="15"/>
      <c r="NQ22" s="15">
        <v>0.5</v>
      </c>
      <c r="NR22" s="15"/>
      <c r="NS22" s="15"/>
      <c r="NT22" s="15"/>
      <c r="NU22" s="61">
        <f t="shared" si="126"/>
        <v>0</v>
      </c>
      <c r="NV22" s="66">
        <f t="shared" si="190"/>
        <v>0</v>
      </c>
      <c r="NW22" s="12">
        <f t="shared" si="209"/>
        <v>25000</v>
      </c>
      <c r="NX22" s="12">
        <f t="shared" si="210"/>
        <v>0</v>
      </c>
      <c r="NY22" s="12">
        <f t="shared" si="211"/>
        <v>0</v>
      </c>
      <c r="NZ22" s="16">
        <f t="shared" si="212"/>
        <v>0</v>
      </c>
      <c r="OA22" s="59">
        <f t="shared" si="131"/>
        <v>0</v>
      </c>
      <c r="OB22" s="131">
        <v>25000</v>
      </c>
      <c r="OC22" s="133">
        <v>0.5</v>
      </c>
      <c r="OD22" s="15"/>
      <c r="OE22" s="15">
        <v>0.5</v>
      </c>
      <c r="OF22" s="15"/>
      <c r="OG22" s="15"/>
      <c r="OH22" s="15"/>
      <c r="OI22" s="61">
        <f t="shared" si="163"/>
        <v>0</v>
      </c>
      <c r="OJ22" s="66">
        <f t="shared" si="132"/>
        <v>0</v>
      </c>
      <c r="OK22" s="12">
        <f t="shared" si="133"/>
        <v>25000</v>
      </c>
      <c r="OL22" s="12">
        <f t="shared" si="134"/>
        <v>0</v>
      </c>
      <c r="OM22" s="12">
        <f t="shared" si="135"/>
        <v>0</v>
      </c>
      <c r="ON22" s="16">
        <f t="shared" si="136"/>
        <v>0</v>
      </c>
      <c r="OO22" s="59">
        <f t="shared" si="137"/>
        <v>0</v>
      </c>
      <c r="OP22" s="131">
        <v>25000</v>
      </c>
      <c r="OQ22" s="133">
        <v>0.5</v>
      </c>
      <c r="OR22" s="15"/>
      <c r="OS22" s="15">
        <v>0.25</v>
      </c>
      <c r="OT22" s="15"/>
      <c r="OU22" s="15"/>
      <c r="OV22" s="15"/>
      <c r="OW22" s="61">
        <f t="shared" si="138"/>
        <v>0.25</v>
      </c>
      <c r="OX22" s="66">
        <f t="shared" si="139"/>
        <v>0</v>
      </c>
      <c r="OY22" s="12">
        <f t="shared" si="140"/>
        <v>12500</v>
      </c>
      <c r="OZ22" s="12">
        <f t="shared" si="141"/>
        <v>0</v>
      </c>
      <c r="PA22" s="12">
        <f t="shared" si="142"/>
        <v>0</v>
      </c>
      <c r="PB22" s="16">
        <f t="shared" si="143"/>
        <v>0</v>
      </c>
      <c r="PC22" s="59">
        <f t="shared" si="144"/>
        <v>12500</v>
      </c>
      <c r="PD22" s="131">
        <v>25000</v>
      </c>
      <c r="PE22" s="133">
        <v>0.5</v>
      </c>
      <c r="PF22" s="15"/>
      <c r="PG22" s="15"/>
      <c r="PH22" s="15"/>
      <c r="PI22" s="15"/>
      <c r="PJ22" s="15"/>
      <c r="PK22" s="61">
        <f t="shared" si="145"/>
        <v>0.5</v>
      </c>
      <c r="PL22" s="66">
        <f t="shared" si="174"/>
        <v>0</v>
      </c>
      <c r="PM22" s="12">
        <f t="shared" si="175"/>
        <v>0</v>
      </c>
      <c r="PN22" s="12">
        <f t="shared" si="176"/>
        <v>0</v>
      </c>
      <c r="PO22" s="12">
        <f t="shared" si="177"/>
        <v>0</v>
      </c>
      <c r="PP22" s="16">
        <f t="shared" si="178"/>
        <v>0</v>
      </c>
      <c r="PQ22" s="59">
        <f t="shared" si="150"/>
        <v>25000</v>
      </c>
      <c r="PS22" s="884">
        <f t="shared" si="151"/>
        <v>0</v>
      </c>
    </row>
    <row r="23" spans="2:435" x14ac:dyDescent="0.2">
      <c r="B23" s="24">
        <v>17</v>
      </c>
      <c r="C23" s="25" t="s">
        <v>36</v>
      </c>
      <c r="D23" s="26">
        <v>25000</v>
      </c>
      <c r="E23" s="42">
        <v>1</v>
      </c>
      <c r="F23" s="31"/>
      <c r="G23" s="12"/>
      <c r="H23" s="12"/>
      <c r="I23" s="12"/>
      <c r="J23" s="12">
        <v>0.1</v>
      </c>
      <c r="K23" s="12"/>
      <c r="L23" s="15">
        <v>0.45</v>
      </c>
      <c r="M23" s="61">
        <f t="shared" si="41"/>
        <v>0.45</v>
      </c>
      <c r="N23" s="31">
        <f t="shared" si="0"/>
        <v>0</v>
      </c>
      <c r="O23" s="12">
        <f t="shared" si="0"/>
        <v>0</v>
      </c>
      <c r="P23" s="12">
        <f t="shared" si="0"/>
        <v>0</v>
      </c>
      <c r="Q23" s="12">
        <f t="shared" si="0"/>
        <v>0</v>
      </c>
      <c r="R23" s="12">
        <f t="shared" si="0"/>
        <v>2500</v>
      </c>
      <c r="S23" s="12">
        <f t="shared" si="0"/>
        <v>0</v>
      </c>
      <c r="T23" s="15">
        <f t="shared" si="0"/>
        <v>11250</v>
      </c>
      <c r="U23" s="59">
        <f t="shared" si="191"/>
        <v>11250</v>
      </c>
      <c r="V23" s="26">
        <v>25000</v>
      </c>
      <c r="W23" s="42">
        <v>1</v>
      </c>
      <c r="X23" s="31"/>
      <c r="Y23" s="12"/>
      <c r="Z23" s="12"/>
      <c r="AA23" s="12"/>
      <c r="AB23" s="12">
        <v>0.7</v>
      </c>
      <c r="AC23" s="12"/>
      <c r="AD23" s="15"/>
      <c r="AE23" s="15">
        <v>0.3</v>
      </c>
      <c r="AF23" s="61">
        <f t="shared" si="42"/>
        <v>0</v>
      </c>
      <c r="AG23" s="35">
        <f t="shared" si="43"/>
        <v>0</v>
      </c>
      <c r="AH23" s="35">
        <f t="shared" si="1"/>
        <v>0</v>
      </c>
      <c r="AI23" s="35">
        <f t="shared" si="1"/>
        <v>0</v>
      </c>
      <c r="AJ23" s="35">
        <f t="shared" si="1"/>
        <v>0</v>
      </c>
      <c r="AK23" s="35">
        <f t="shared" si="1"/>
        <v>17500</v>
      </c>
      <c r="AL23" s="35">
        <f t="shared" si="1"/>
        <v>0</v>
      </c>
      <c r="AM23" s="35">
        <f t="shared" si="1"/>
        <v>0</v>
      </c>
      <c r="AN23" s="35">
        <f t="shared" si="1"/>
        <v>7500</v>
      </c>
      <c r="AO23" s="62">
        <f t="shared" si="44"/>
        <v>0</v>
      </c>
      <c r="AP23" s="26">
        <v>25000</v>
      </c>
      <c r="AQ23" s="42">
        <v>1</v>
      </c>
      <c r="AR23" s="12"/>
      <c r="AS23" s="12"/>
      <c r="AT23" s="12">
        <v>0.5</v>
      </c>
      <c r="AU23" s="12"/>
      <c r="AV23" s="15">
        <v>0.5</v>
      </c>
      <c r="AW23" s="15"/>
      <c r="AX23" s="61">
        <f t="shared" si="45"/>
        <v>0</v>
      </c>
      <c r="AY23" s="35">
        <f t="shared" si="2"/>
        <v>0</v>
      </c>
      <c r="AZ23" s="35">
        <f t="shared" si="2"/>
        <v>0</v>
      </c>
      <c r="BA23" s="35">
        <f t="shared" si="2"/>
        <v>12500</v>
      </c>
      <c r="BB23" s="35">
        <f t="shared" si="2"/>
        <v>0</v>
      </c>
      <c r="BC23" s="35">
        <f t="shared" si="2"/>
        <v>12500</v>
      </c>
      <c r="BD23" s="34">
        <f t="shared" si="2"/>
        <v>0</v>
      </c>
      <c r="BE23" s="59">
        <f t="shared" si="46"/>
        <v>0</v>
      </c>
      <c r="BF23" s="26">
        <v>25000</v>
      </c>
      <c r="BG23" s="42">
        <v>1</v>
      </c>
      <c r="BH23" s="12"/>
      <c r="BI23" s="12">
        <v>0.5</v>
      </c>
      <c r="BJ23" s="12"/>
      <c r="BK23" s="12"/>
      <c r="BL23" s="15"/>
      <c r="BM23" s="15">
        <v>0.5</v>
      </c>
      <c r="BN23" s="15"/>
      <c r="BO23" s="61">
        <f t="shared" si="3"/>
        <v>0</v>
      </c>
      <c r="BP23" s="65">
        <f t="shared" si="4"/>
        <v>0</v>
      </c>
      <c r="BQ23" s="33">
        <f t="shared" si="4"/>
        <v>12500</v>
      </c>
      <c r="BR23" s="33">
        <f t="shared" si="4"/>
        <v>0</v>
      </c>
      <c r="BS23" s="33">
        <f t="shared" si="4"/>
        <v>0</v>
      </c>
      <c r="BT23" s="33">
        <f t="shared" si="4"/>
        <v>0</v>
      </c>
      <c r="BU23" s="33">
        <f t="shared" si="4"/>
        <v>12500</v>
      </c>
      <c r="BV23" s="34">
        <f t="shared" si="4"/>
        <v>0</v>
      </c>
      <c r="BW23" s="59">
        <f t="shared" si="192"/>
        <v>0</v>
      </c>
      <c r="BX23" s="69">
        <v>25000</v>
      </c>
      <c r="BY23" s="68">
        <v>1</v>
      </c>
      <c r="BZ23" s="31"/>
      <c r="CA23" s="12">
        <v>0.5</v>
      </c>
      <c r="CB23" s="12"/>
      <c r="CC23" s="12"/>
      <c r="CD23" s="15"/>
      <c r="CE23" s="15">
        <v>0.5</v>
      </c>
      <c r="CF23" s="15"/>
      <c r="CG23" s="61">
        <f t="shared" si="5"/>
        <v>0</v>
      </c>
      <c r="CH23" s="66">
        <f t="shared" si="47"/>
        <v>0</v>
      </c>
      <c r="CI23" s="12">
        <f t="shared" si="6"/>
        <v>12500</v>
      </c>
      <c r="CJ23" s="12">
        <f t="shared" si="6"/>
        <v>0</v>
      </c>
      <c r="CK23" s="12">
        <f t="shared" si="6"/>
        <v>0</v>
      </c>
      <c r="CL23" s="12">
        <f t="shared" si="6"/>
        <v>0</v>
      </c>
      <c r="CM23" s="12">
        <f t="shared" si="6"/>
        <v>12500</v>
      </c>
      <c r="CN23" s="16">
        <f t="shared" si="6"/>
        <v>0</v>
      </c>
      <c r="CO23" s="59">
        <f t="shared" si="193"/>
        <v>0</v>
      </c>
      <c r="CP23" s="69">
        <v>25000</v>
      </c>
      <c r="CQ23" s="68">
        <v>1</v>
      </c>
      <c r="CR23" s="12"/>
      <c r="CS23" s="12">
        <v>0.5</v>
      </c>
      <c r="CT23" s="12"/>
      <c r="CU23" s="12"/>
      <c r="CV23" s="15"/>
      <c r="CW23" s="15">
        <v>0.5</v>
      </c>
      <c r="CX23" s="15"/>
      <c r="CY23" s="61">
        <f t="shared" si="7"/>
        <v>0</v>
      </c>
      <c r="CZ23" s="66">
        <f t="shared" si="194"/>
        <v>0</v>
      </c>
      <c r="DA23" s="12">
        <f t="shared" si="8"/>
        <v>12500</v>
      </c>
      <c r="DB23" s="12">
        <f t="shared" si="8"/>
        <v>0</v>
      </c>
      <c r="DC23" s="12">
        <f t="shared" si="8"/>
        <v>0</v>
      </c>
      <c r="DD23" s="12">
        <f t="shared" si="8"/>
        <v>0</v>
      </c>
      <c r="DE23" s="12">
        <f t="shared" si="8"/>
        <v>12500</v>
      </c>
      <c r="DF23" s="16">
        <f t="shared" si="8"/>
        <v>0</v>
      </c>
      <c r="DG23" s="59">
        <f t="shared" si="195"/>
        <v>0</v>
      </c>
      <c r="DH23" s="69">
        <v>25000</v>
      </c>
      <c r="DI23" s="68">
        <v>1</v>
      </c>
      <c r="DJ23" s="12"/>
      <c r="DK23" s="12">
        <v>0.4</v>
      </c>
      <c r="DL23" s="12"/>
      <c r="DM23" s="12"/>
      <c r="DN23" s="15"/>
      <c r="DO23" s="15">
        <v>0.6</v>
      </c>
      <c r="DP23" s="15"/>
      <c r="DQ23" s="61">
        <f t="shared" si="9"/>
        <v>0</v>
      </c>
      <c r="DR23" s="66">
        <f t="shared" si="48"/>
        <v>0</v>
      </c>
      <c r="DS23" s="12">
        <f t="shared" si="10"/>
        <v>10000</v>
      </c>
      <c r="DT23" s="12">
        <f t="shared" si="10"/>
        <v>0</v>
      </c>
      <c r="DU23" s="12">
        <f t="shared" si="10"/>
        <v>0</v>
      </c>
      <c r="DV23" s="12">
        <f t="shared" si="10"/>
        <v>0</v>
      </c>
      <c r="DW23" s="12">
        <f t="shared" si="10"/>
        <v>15000</v>
      </c>
      <c r="DX23" s="16">
        <f t="shared" si="10"/>
        <v>0</v>
      </c>
      <c r="DY23" s="59">
        <f t="shared" si="196"/>
        <v>0</v>
      </c>
      <c r="DZ23" s="69">
        <v>25000</v>
      </c>
      <c r="EA23" s="68">
        <v>1</v>
      </c>
      <c r="EB23" s="12">
        <v>0.6</v>
      </c>
      <c r="EC23" s="12">
        <v>0.4</v>
      </c>
      <c r="ED23" s="12"/>
      <c r="EE23" s="15"/>
      <c r="EF23" s="15"/>
      <c r="EG23" s="15"/>
      <c r="EH23" s="61">
        <f t="shared" si="197"/>
        <v>0</v>
      </c>
      <c r="EI23" s="66">
        <f t="shared" si="11"/>
        <v>15000</v>
      </c>
      <c r="EJ23" s="12">
        <f t="shared" si="11"/>
        <v>10000</v>
      </c>
      <c r="EK23" s="12">
        <f t="shared" si="11"/>
        <v>0</v>
      </c>
      <c r="EL23" s="12">
        <f t="shared" si="11"/>
        <v>0</v>
      </c>
      <c r="EM23" s="12">
        <f t="shared" si="11"/>
        <v>0</v>
      </c>
      <c r="EN23" s="16">
        <f t="shared" si="11"/>
        <v>0</v>
      </c>
      <c r="EO23" s="59">
        <f t="shared" si="198"/>
        <v>0</v>
      </c>
      <c r="EP23" s="69">
        <v>25000</v>
      </c>
      <c r="EQ23" s="68">
        <v>1</v>
      </c>
      <c r="ER23" s="12">
        <v>0.5</v>
      </c>
      <c r="ES23" s="12">
        <v>0.5</v>
      </c>
      <c r="ET23" s="15"/>
      <c r="EU23" s="15"/>
      <c r="EV23" s="61">
        <f t="shared" si="199"/>
        <v>0</v>
      </c>
      <c r="EW23" s="66">
        <f t="shared" si="49"/>
        <v>12500</v>
      </c>
      <c r="EX23" s="12">
        <f t="shared" si="49"/>
        <v>12500</v>
      </c>
      <c r="EY23" s="12">
        <f t="shared" si="49"/>
        <v>0</v>
      </c>
      <c r="EZ23" s="16">
        <f t="shared" si="49"/>
        <v>0</v>
      </c>
      <c r="FA23" s="59">
        <f t="shared" si="200"/>
        <v>0</v>
      </c>
      <c r="FB23" s="69">
        <f>19047.62+5939.78</f>
        <v>24987.4</v>
      </c>
      <c r="FC23" s="68">
        <v>1</v>
      </c>
      <c r="FD23" s="12">
        <v>1</v>
      </c>
      <c r="FE23" s="15"/>
      <c r="FF23" s="15"/>
      <c r="FG23" s="61">
        <f t="shared" si="201"/>
        <v>0</v>
      </c>
      <c r="FH23" s="66">
        <f t="shared" si="50"/>
        <v>24987.4</v>
      </c>
      <c r="FI23" s="12">
        <f t="shared" si="50"/>
        <v>0</v>
      </c>
      <c r="FJ23" s="16">
        <f t="shared" si="50"/>
        <v>0</v>
      </c>
      <c r="FK23" s="59">
        <f t="shared" si="202"/>
        <v>0</v>
      </c>
      <c r="FL23" s="69">
        <f>25000</f>
        <v>25000</v>
      </c>
      <c r="FM23" s="68">
        <v>1</v>
      </c>
      <c r="FN23" s="12">
        <v>1</v>
      </c>
      <c r="FO23" s="15"/>
      <c r="FP23" s="15"/>
      <c r="FQ23" s="15"/>
      <c r="FR23" s="15"/>
      <c r="FS23" s="61">
        <f t="shared" si="203"/>
        <v>0</v>
      </c>
      <c r="FT23" s="66">
        <f t="shared" si="204"/>
        <v>25000</v>
      </c>
      <c r="FU23" s="12">
        <f t="shared" si="205"/>
        <v>0</v>
      </c>
      <c r="FV23" s="12">
        <f t="shared" si="206"/>
        <v>0</v>
      </c>
      <c r="FW23" s="12">
        <f t="shared" si="207"/>
        <v>0</v>
      </c>
      <c r="FX23" s="16">
        <f t="shared" si="51"/>
        <v>0</v>
      </c>
      <c r="FY23" s="59">
        <f t="shared" si="52"/>
        <v>0</v>
      </c>
      <c r="FZ23" s="69">
        <f>25000</f>
        <v>25000</v>
      </c>
      <c r="GA23" s="68">
        <v>1</v>
      </c>
      <c r="GB23" s="12">
        <v>1</v>
      </c>
      <c r="GC23" s="15"/>
      <c r="GD23" s="15"/>
      <c r="GE23" s="15"/>
      <c r="GF23" s="61">
        <f t="shared" si="208"/>
        <v>0</v>
      </c>
      <c r="GG23" s="66">
        <f t="shared" si="53"/>
        <v>25000</v>
      </c>
      <c r="GH23" s="66">
        <f t="shared" si="12"/>
        <v>25000</v>
      </c>
      <c r="GI23" s="12">
        <f t="shared" si="13"/>
        <v>0</v>
      </c>
      <c r="GJ23" s="12">
        <f t="shared" si="179"/>
        <v>0</v>
      </c>
      <c r="GK23" s="31">
        <f t="shared" si="14"/>
        <v>0</v>
      </c>
      <c r="GL23" s="123">
        <f t="shared" si="15"/>
        <v>0</v>
      </c>
      <c r="GM23" s="410">
        <f t="shared" si="16"/>
        <v>0</v>
      </c>
      <c r="GN23" s="414">
        <f>25000</f>
        <v>25000</v>
      </c>
      <c r="GO23" s="68">
        <v>1</v>
      </c>
      <c r="GP23" s="12">
        <v>1</v>
      </c>
      <c r="GQ23" s="15"/>
      <c r="GR23" s="15"/>
      <c r="GS23" s="15"/>
      <c r="GT23" s="15"/>
      <c r="GU23" s="61">
        <f t="shared" si="54"/>
        <v>0</v>
      </c>
      <c r="GV23" s="66">
        <f t="shared" si="17"/>
        <v>25000</v>
      </c>
      <c r="GW23" s="12">
        <f t="shared" si="18"/>
        <v>0</v>
      </c>
      <c r="GX23" s="12">
        <f t="shared" si="19"/>
        <v>0</v>
      </c>
      <c r="GY23" s="12">
        <f t="shared" si="20"/>
        <v>0</v>
      </c>
      <c r="GZ23" s="16">
        <f t="shared" si="21"/>
        <v>0</v>
      </c>
      <c r="HA23" s="59">
        <f t="shared" si="55"/>
        <v>0</v>
      </c>
      <c r="HB23" s="69">
        <v>27500</v>
      </c>
      <c r="HC23" s="68">
        <v>1</v>
      </c>
      <c r="HD23" s="12"/>
      <c r="HE23" s="15"/>
      <c r="HF23" s="15">
        <v>0.5</v>
      </c>
      <c r="HG23" s="15"/>
      <c r="HH23" s="15"/>
      <c r="HI23" s="15">
        <v>0.4</v>
      </c>
      <c r="HJ23" s="15">
        <v>0.1</v>
      </c>
      <c r="HK23" s="15"/>
      <c r="HL23" s="61">
        <f t="shared" si="56"/>
        <v>0</v>
      </c>
      <c r="HM23" s="66">
        <f t="shared" si="22"/>
        <v>0</v>
      </c>
      <c r="HN23" s="12">
        <f t="shared" si="23"/>
        <v>0</v>
      </c>
      <c r="HO23" s="12">
        <f t="shared" si="24"/>
        <v>13750</v>
      </c>
      <c r="HP23" s="12">
        <f t="shared" si="25"/>
        <v>0</v>
      </c>
      <c r="HQ23" s="12">
        <f t="shared" si="26"/>
        <v>0</v>
      </c>
      <c r="HR23" s="12">
        <f t="shared" si="27"/>
        <v>11000</v>
      </c>
      <c r="HS23" s="12">
        <f t="shared" si="28"/>
        <v>2750</v>
      </c>
      <c r="HT23" s="16">
        <f t="shared" si="29"/>
        <v>0</v>
      </c>
      <c r="HU23" s="59">
        <f t="shared" si="57"/>
        <v>0</v>
      </c>
      <c r="HV23" s="69">
        <f>25000</f>
        <v>25000</v>
      </c>
      <c r="HW23" s="68">
        <v>1</v>
      </c>
      <c r="HX23" s="12"/>
      <c r="HY23" s="15"/>
      <c r="HZ23" s="61">
        <f t="shared" si="58"/>
        <v>1</v>
      </c>
      <c r="IA23" s="66">
        <f t="shared" si="59"/>
        <v>0</v>
      </c>
      <c r="IB23" s="16">
        <f t="shared" si="59"/>
        <v>0</v>
      </c>
      <c r="IC23" s="59">
        <f t="shared" si="60"/>
        <v>25000</v>
      </c>
      <c r="ID23" s="69">
        <v>27500</v>
      </c>
      <c r="IE23" s="68">
        <v>1</v>
      </c>
      <c r="IF23" s="12"/>
      <c r="IG23" s="15"/>
      <c r="IH23" s="15"/>
      <c r="II23" s="15"/>
      <c r="IJ23" s="15"/>
      <c r="IK23" s="15">
        <v>0.4</v>
      </c>
      <c r="IL23" s="15">
        <v>0.2</v>
      </c>
      <c r="IM23" s="15">
        <v>0.1</v>
      </c>
      <c r="IN23" s="15">
        <v>0.3</v>
      </c>
      <c r="IO23" s="61">
        <f t="shared" si="61"/>
        <v>0</v>
      </c>
      <c r="IP23" s="66">
        <f t="shared" si="62"/>
        <v>0</v>
      </c>
      <c r="IQ23" s="12">
        <f t="shared" si="63"/>
        <v>0</v>
      </c>
      <c r="IR23" s="12">
        <f t="shared" si="64"/>
        <v>0</v>
      </c>
      <c r="IS23" s="12">
        <f t="shared" si="65"/>
        <v>0</v>
      </c>
      <c r="IT23" s="12">
        <f t="shared" si="66"/>
        <v>0</v>
      </c>
      <c r="IU23" s="12">
        <f t="shared" si="67"/>
        <v>11000</v>
      </c>
      <c r="IV23" s="12">
        <f t="shared" si="68"/>
        <v>5500</v>
      </c>
      <c r="IW23" s="15">
        <f t="shared" si="69"/>
        <v>2750</v>
      </c>
      <c r="IX23" s="16">
        <f t="shared" si="69"/>
        <v>8250</v>
      </c>
      <c r="IY23" s="59">
        <f t="shared" si="70"/>
        <v>0</v>
      </c>
      <c r="IZ23" s="69">
        <v>27500</v>
      </c>
      <c r="JA23" s="68">
        <v>1</v>
      </c>
      <c r="JB23" s="12">
        <v>1</v>
      </c>
      <c r="JC23" s="15"/>
      <c r="JD23" s="15"/>
      <c r="JE23" s="15"/>
      <c r="JF23" s="15"/>
      <c r="JG23" s="15"/>
      <c r="JH23" s="15"/>
      <c r="JI23" s="15"/>
      <c r="JJ23" s="15"/>
      <c r="JK23" s="61">
        <f t="shared" si="71"/>
        <v>0</v>
      </c>
      <c r="JL23" s="66">
        <f t="shared" si="72"/>
        <v>27500</v>
      </c>
      <c r="JM23" s="12">
        <f t="shared" si="73"/>
        <v>0</v>
      </c>
      <c r="JN23" s="12">
        <f t="shared" si="74"/>
        <v>0</v>
      </c>
      <c r="JO23" s="12">
        <f t="shared" si="75"/>
        <v>0</v>
      </c>
      <c r="JP23" s="12">
        <f t="shared" si="76"/>
        <v>0</v>
      </c>
      <c r="JQ23" s="12">
        <f t="shared" si="77"/>
        <v>0</v>
      </c>
      <c r="JR23" s="12">
        <f t="shared" si="78"/>
        <v>0</v>
      </c>
      <c r="JS23" s="12">
        <f t="shared" si="79"/>
        <v>0</v>
      </c>
      <c r="JT23" s="16">
        <f t="shared" si="80"/>
        <v>0</v>
      </c>
      <c r="JU23" s="59">
        <f t="shared" si="81"/>
        <v>0</v>
      </c>
      <c r="JV23" s="69">
        <v>27500</v>
      </c>
      <c r="JW23" s="68">
        <v>1</v>
      </c>
      <c r="JX23" s="12">
        <v>0.5</v>
      </c>
      <c r="JY23" s="12">
        <v>0.5</v>
      </c>
      <c r="JZ23" s="15"/>
      <c r="KA23" s="15"/>
      <c r="KB23" s="15"/>
      <c r="KC23" s="15"/>
      <c r="KD23" s="15"/>
      <c r="KE23" s="15"/>
      <c r="KF23" s="15"/>
      <c r="KG23" s="61">
        <f t="shared" si="82"/>
        <v>0</v>
      </c>
      <c r="KH23" s="146">
        <f t="shared" si="83"/>
        <v>13750</v>
      </c>
      <c r="KI23" s="12">
        <f t="shared" si="83"/>
        <v>13750</v>
      </c>
      <c r="KJ23" s="12">
        <f t="shared" si="84"/>
        <v>0</v>
      </c>
      <c r="KK23" s="12">
        <f t="shared" si="85"/>
        <v>0</v>
      </c>
      <c r="KL23" s="12">
        <f t="shared" si="86"/>
        <v>0</v>
      </c>
      <c r="KM23" s="12">
        <f t="shared" si="87"/>
        <v>0</v>
      </c>
      <c r="KN23" s="12">
        <f t="shared" si="88"/>
        <v>0</v>
      </c>
      <c r="KO23" s="12">
        <f t="shared" si="89"/>
        <v>0</v>
      </c>
      <c r="KP23" s="16">
        <f t="shared" si="90"/>
        <v>0</v>
      </c>
      <c r="KQ23" s="59">
        <f t="shared" si="91"/>
        <v>0</v>
      </c>
      <c r="KR23" s="69">
        <v>38107.14</v>
      </c>
      <c r="KS23" s="68">
        <v>1</v>
      </c>
      <c r="KT23" s="12">
        <v>0.5</v>
      </c>
      <c r="KU23" s="15"/>
      <c r="KV23" s="15"/>
      <c r="KW23" s="15"/>
      <c r="KX23" s="15"/>
      <c r="KY23" s="15">
        <v>0.5</v>
      </c>
      <c r="KZ23" s="15"/>
      <c r="LA23" s="15"/>
      <c r="LB23" s="61">
        <f t="shared" si="92"/>
        <v>0</v>
      </c>
      <c r="LC23" s="66">
        <f t="shared" si="93"/>
        <v>19053.57</v>
      </c>
      <c r="LD23" s="12">
        <f t="shared" si="94"/>
        <v>0</v>
      </c>
      <c r="LE23" s="12">
        <f t="shared" si="95"/>
        <v>0</v>
      </c>
      <c r="LF23" s="12">
        <f t="shared" si="96"/>
        <v>0</v>
      </c>
      <c r="LG23" s="12">
        <f t="shared" si="97"/>
        <v>0</v>
      </c>
      <c r="LH23" s="142">
        <f t="shared" si="98"/>
        <v>19053.57</v>
      </c>
      <c r="LI23" s="12">
        <f t="shared" si="99"/>
        <v>0</v>
      </c>
      <c r="LJ23" s="16">
        <f t="shared" si="100"/>
        <v>0</v>
      </c>
      <c r="LK23" s="59">
        <f t="shared" si="101"/>
        <v>0</v>
      </c>
      <c r="LL23" s="69">
        <v>29338</v>
      </c>
      <c r="LM23" s="68">
        <v>1</v>
      </c>
      <c r="LN23" s="15"/>
      <c r="LO23" s="15"/>
      <c r="LP23" s="15"/>
      <c r="LQ23" s="15"/>
      <c r="LR23" s="15">
        <v>0.5</v>
      </c>
      <c r="LS23" s="15"/>
      <c r="LT23" s="15">
        <v>0.5</v>
      </c>
      <c r="LU23" s="61">
        <f t="shared" si="102"/>
        <v>0</v>
      </c>
      <c r="LV23" s="66">
        <f t="shared" si="103"/>
        <v>0</v>
      </c>
      <c r="LW23" s="12">
        <f t="shared" si="104"/>
        <v>0</v>
      </c>
      <c r="LX23" s="12">
        <f t="shared" si="105"/>
        <v>0</v>
      </c>
      <c r="LY23" s="12">
        <f t="shared" si="106"/>
        <v>0</v>
      </c>
      <c r="LZ23" s="12">
        <f t="shared" si="107"/>
        <v>14669</v>
      </c>
      <c r="MA23" s="12">
        <f t="shared" si="108"/>
        <v>0</v>
      </c>
      <c r="MB23" s="16">
        <f t="shared" si="109"/>
        <v>14669</v>
      </c>
      <c r="MC23" s="59">
        <f t="shared" si="110"/>
        <v>0</v>
      </c>
      <c r="MD23" s="69">
        <v>30250</v>
      </c>
      <c r="ME23" s="68">
        <v>1</v>
      </c>
      <c r="MF23" s="15"/>
      <c r="MG23" s="15"/>
      <c r="MH23" s="15"/>
      <c r="MI23" s="15">
        <v>0.5</v>
      </c>
      <c r="MJ23" s="15"/>
      <c r="MK23" s="15"/>
      <c r="ML23" s="15">
        <v>0.5</v>
      </c>
      <c r="MM23" s="61">
        <f t="shared" si="111"/>
        <v>0</v>
      </c>
      <c r="MN23" s="66">
        <f t="shared" si="112"/>
        <v>0</v>
      </c>
      <c r="MO23" s="12">
        <f t="shared" si="113"/>
        <v>0</v>
      </c>
      <c r="MP23" s="12">
        <f t="shared" si="114"/>
        <v>0</v>
      </c>
      <c r="MQ23" s="12">
        <f t="shared" si="115"/>
        <v>15125</v>
      </c>
      <c r="MR23" s="12">
        <f t="shared" si="116"/>
        <v>0</v>
      </c>
      <c r="MS23" s="12">
        <f t="shared" si="116"/>
        <v>0</v>
      </c>
      <c r="MT23" s="16">
        <f t="shared" si="117"/>
        <v>15125</v>
      </c>
      <c r="MU23" s="59">
        <f t="shared" si="189"/>
        <v>0</v>
      </c>
      <c r="MV23" s="620">
        <v>30250</v>
      </c>
      <c r="MW23" s="619">
        <v>1</v>
      </c>
      <c r="MX23" s="15"/>
      <c r="MY23" s="15"/>
      <c r="MZ23" s="15">
        <v>0.5</v>
      </c>
      <c r="NA23" s="15"/>
      <c r="NB23" s="15"/>
      <c r="NC23" s="15"/>
      <c r="ND23" s="15"/>
      <c r="NE23" s="61">
        <f t="shared" si="118"/>
        <v>0.5</v>
      </c>
      <c r="NF23" s="66">
        <f t="shared" si="119"/>
        <v>0</v>
      </c>
      <c r="NG23" s="12">
        <f t="shared" si="120"/>
        <v>0</v>
      </c>
      <c r="NH23" s="12">
        <f t="shared" si="121"/>
        <v>15125</v>
      </c>
      <c r="NI23" s="12">
        <f t="shared" si="122"/>
        <v>0</v>
      </c>
      <c r="NJ23" s="12">
        <f t="shared" si="123"/>
        <v>0</v>
      </c>
      <c r="NK23" s="12">
        <f t="shared" si="123"/>
        <v>0</v>
      </c>
      <c r="NL23" s="16">
        <f t="shared" si="124"/>
        <v>0</v>
      </c>
      <c r="NM23" s="59">
        <f t="shared" si="125"/>
        <v>15125</v>
      </c>
      <c r="NN23" s="620">
        <v>30250</v>
      </c>
      <c r="NO23" s="619">
        <v>1</v>
      </c>
      <c r="NP23" s="15"/>
      <c r="NQ23" s="15">
        <v>1</v>
      </c>
      <c r="NR23" s="15"/>
      <c r="NS23" s="15"/>
      <c r="NT23" s="15"/>
      <c r="NU23" s="61">
        <f t="shared" si="126"/>
        <v>0</v>
      </c>
      <c r="NV23" s="66">
        <f t="shared" si="190"/>
        <v>0</v>
      </c>
      <c r="NW23" s="12">
        <f t="shared" si="209"/>
        <v>30250</v>
      </c>
      <c r="NX23" s="12">
        <f t="shared" si="210"/>
        <v>0</v>
      </c>
      <c r="NY23" s="12">
        <f t="shared" si="211"/>
        <v>0</v>
      </c>
      <c r="NZ23" s="16">
        <f t="shared" si="212"/>
        <v>0</v>
      </c>
      <c r="OA23" s="59">
        <f t="shared" si="131"/>
        <v>0</v>
      </c>
      <c r="OB23" s="134">
        <v>30250</v>
      </c>
      <c r="OC23" s="133">
        <v>1</v>
      </c>
      <c r="OD23" s="15"/>
      <c r="OE23" s="15">
        <v>1</v>
      </c>
      <c r="OF23" s="15"/>
      <c r="OG23" s="15"/>
      <c r="OH23" s="15"/>
      <c r="OI23" s="61">
        <f t="shared" si="163"/>
        <v>0</v>
      </c>
      <c r="OJ23" s="66">
        <f t="shared" si="132"/>
        <v>0</v>
      </c>
      <c r="OK23" s="12">
        <f t="shared" si="133"/>
        <v>30250</v>
      </c>
      <c r="OL23" s="12">
        <f t="shared" si="134"/>
        <v>0</v>
      </c>
      <c r="OM23" s="12">
        <f t="shared" si="135"/>
        <v>0</v>
      </c>
      <c r="ON23" s="16">
        <f t="shared" si="136"/>
        <v>0</v>
      </c>
      <c r="OO23" s="59">
        <f t="shared" si="137"/>
        <v>0</v>
      </c>
      <c r="OP23" s="134">
        <v>30250</v>
      </c>
      <c r="OQ23" s="133">
        <v>1</v>
      </c>
      <c r="OR23" s="15"/>
      <c r="OS23" s="15">
        <v>0.5</v>
      </c>
      <c r="OT23" s="15"/>
      <c r="OU23" s="15"/>
      <c r="OV23" s="15"/>
      <c r="OW23" s="61">
        <f t="shared" si="138"/>
        <v>0.5</v>
      </c>
      <c r="OX23" s="66">
        <f t="shared" si="139"/>
        <v>0</v>
      </c>
      <c r="OY23" s="12">
        <f t="shared" si="140"/>
        <v>15125</v>
      </c>
      <c r="OZ23" s="12">
        <f t="shared" si="141"/>
        <v>0</v>
      </c>
      <c r="PA23" s="12">
        <f t="shared" si="142"/>
        <v>0</v>
      </c>
      <c r="PB23" s="16">
        <f t="shared" si="143"/>
        <v>0</v>
      </c>
      <c r="PC23" s="59">
        <f t="shared" si="144"/>
        <v>15125</v>
      </c>
      <c r="PD23" s="134">
        <v>30250</v>
      </c>
      <c r="PE23" s="133">
        <v>1</v>
      </c>
      <c r="PF23" s="15"/>
      <c r="PG23" s="15"/>
      <c r="PH23" s="15"/>
      <c r="PI23" s="15"/>
      <c r="PJ23" s="15"/>
      <c r="PK23" s="61">
        <f t="shared" si="145"/>
        <v>1</v>
      </c>
      <c r="PL23" s="66">
        <f t="shared" si="174"/>
        <v>0</v>
      </c>
      <c r="PM23" s="12">
        <f t="shared" si="175"/>
        <v>0</v>
      </c>
      <c r="PN23" s="12">
        <f t="shared" si="176"/>
        <v>0</v>
      </c>
      <c r="PO23" s="12">
        <f t="shared" si="177"/>
        <v>0</v>
      </c>
      <c r="PP23" s="16">
        <f t="shared" si="178"/>
        <v>0</v>
      </c>
      <c r="PQ23" s="59">
        <f t="shared" si="150"/>
        <v>30250</v>
      </c>
      <c r="PS23" s="885">
        <f t="shared" si="151"/>
        <v>1.3</v>
      </c>
    </row>
    <row r="24" spans="2:435" x14ac:dyDescent="0.2">
      <c r="B24" s="24"/>
      <c r="C24" s="137" t="s">
        <v>6</v>
      </c>
      <c r="D24" s="26">
        <v>66000</v>
      </c>
      <c r="E24" s="42">
        <v>1</v>
      </c>
      <c r="F24" s="31">
        <v>0.55000000000000004</v>
      </c>
      <c r="G24" s="12"/>
      <c r="H24" s="12"/>
      <c r="I24" s="12">
        <v>0.45</v>
      </c>
      <c r="J24" s="12"/>
      <c r="K24" s="12"/>
      <c r="L24" s="15"/>
      <c r="M24" s="61">
        <f t="shared" si="41"/>
        <v>0</v>
      </c>
      <c r="N24" s="31">
        <f t="shared" si="0"/>
        <v>36300</v>
      </c>
      <c r="O24" s="12">
        <f t="shared" si="0"/>
        <v>0</v>
      </c>
      <c r="P24" s="12">
        <f t="shared" si="0"/>
        <v>0</v>
      </c>
      <c r="Q24" s="12">
        <f t="shared" si="0"/>
        <v>29700</v>
      </c>
      <c r="R24" s="12">
        <f t="shared" si="0"/>
        <v>0</v>
      </c>
      <c r="S24" s="12">
        <f t="shared" si="0"/>
        <v>0</v>
      </c>
      <c r="T24" s="15">
        <f t="shared" si="0"/>
        <v>0</v>
      </c>
      <c r="U24" s="59">
        <f t="shared" si="191"/>
        <v>0</v>
      </c>
      <c r="V24" s="26">
        <v>66000</v>
      </c>
      <c r="W24" s="42">
        <v>1</v>
      </c>
      <c r="X24" s="31"/>
      <c r="Y24" s="12">
        <v>0.2</v>
      </c>
      <c r="Z24" s="12"/>
      <c r="AA24" s="12">
        <v>0.1</v>
      </c>
      <c r="AB24" s="12"/>
      <c r="AC24" s="12"/>
      <c r="AD24" s="15"/>
      <c r="AE24" s="15">
        <v>0.7</v>
      </c>
      <c r="AF24" s="61">
        <f t="shared" si="42"/>
        <v>0</v>
      </c>
      <c r="AG24" s="35">
        <f t="shared" si="43"/>
        <v>0</v>
      </c>
      <c r="AH24" s="35">
        <f t="shared" si="1"/>
        <v>13200</v>
      </c>
      <c r="AI24" s="35">
        <f t="shared" si="1"/>
        <v>0</v>
      </c>
      <c r="AJ24" s="35">
        <f t="shared" si="1"/>
        <v>6600</v>
      </c>
      <c r="AK24" s="35">
        <f t="shared" si="1"/>
        <v>0</v>
      </c>
      <c r="AL24" s="35">
        <f t="shared" si="1"/>
        <v>0</v>
      </c>
      <c r="AM24" s="35">
        <f t="shared" si="1"/>
        <v>0</v>
      </c>
      <c r="AN24" s="35">
        <f t="shared" si="1"/>
        <v>46200</v>
      </c>
      <c r="AO24" s="62">
        <f t="shared" si="44"/>
        <v>0</v>
      </c>
      <c r="AP24" s="26">
        <v>66000</v>
      </c>
      <c r="AQ24" s="42">
        <v>1</v>
      </c>
      <c r="AR24" s="12"/>
      <c r="AS24" s="12">
        <v>0.2</v>
      </c>
      <c r="AT24" s="12">
        <v>0.5</v>
      </c>
      <c r="AU24" s="12"/>
      <c r="AV24" s="15">
        <v>0.3</v>
      </c>
      <c r="AW24" s="15"/>
      <c r="AX24" s="61">
        <f t="shared" si="45"/>
        <v>0</v>
      </c>
      <c r="AY24" s="35">
        <f t="shared" si="2"/>
        <v>0</v>
      </c>
      <c r="AZ24" s="35">
        <f t="shared" si="2"/>
        <v>13200</v>
      </c>
      <c r="BA24" s="35">
        <f t="shared" si="2"/>
        <v>33000</v>
      </c>
      <c r="BB24" s="35">
        <f t="shared" si="2"/>
        <v>0</v>
      </c>
      <c r="BC24" s="35">
        <f t="shared" si="2"/>
        <v>19800</v>
      </c>
      <c r="BD24" s="34">
        <f t="shared" si="2"/>
        <v>0</v>
      </c>
      <c r="BE24" s="59">
        <f t="shared" si="46"/>
        <v>0</v>
      </c>
      <c r="BF24" s="26">
        <v>113142.93</v>
      </c>
      <c r="BG24" s="42">
        <v>0.5</v>
      </c>
      <c r="BH24" s="12"/>
      <c r="BI24" s="12"/>
      <c r="BJ24" s="12"/>
      <c r="BK24" s="12"/>
      <c r="BL24" s="15"/>
      <c r="BM24" s="15">
        <v>0.5</v>
      </c>
      <c r="BN24" s="15"/>
      <c r="BO24" s="61">
        <f t="shared" si="3"/>
        <v>0</v>
      </c>
      <c r="BP24" s="65">
        <f t="shared" si="4"/>
        <v>0</v>
      </c>
      <c r="BQ24" s="33">
        <f t="shared" si="4"/>
        <v>0</v>
      </c>
      <c r="BR24" s="33">
        <f t="shared" si="4"/>
        <v>0</v>
      </c>
      <c r="BS24" s="33">
        <f t="shared" si="4"/>
        <v>0</v>
      </c>
      <c r="BT24" s="33">
        <f t="shared" si="4"/>
        <v>0</v>
      </c>
      <c r="BU24" s="33">
        <f t="shared" si="4"/>
        <v>113142.93</v>
      </c>
      <c r="BV24" s="34">
        <f t="shared" si="4"/>
        <v>0</v>
      </c>
      <c r="BW24" s="59">
        <f t="shared" si="192"/>
        <v>0</v>
      </c>
      <c r="BX24" s="26"/>
      <c r="BY24" s="68"/>
      <c r="BZ24" s="31"/>
      <c r="CA24" s="12"/>
      <c r="CB24" s="12"/>
      <c r="CC24" s="12"/>
      <c r="CD24" s="15"/>
      <c r="CE24" s="15"/>
      <c r="CF24" s="15"/>
      <c r="CG24" s="61">
        <f t="shared" si="5"/>
        <v>0</v>
      </c>
      <c r="CH24" s="66">
        <f t="shared" si="47"/>
        <v>0</v>
      </c>
      <c r="CI24" s="12">
        <f t="shared" si="6"/>
        <v>0</v>
      </c>
      <c r="CJ24" s="12">
        <f t="shared" si="6"/>
        <v>0</v>
      </c>
      <c r="CK24" s="12">
        <f t="shared" si="6"/>
        <v>0</v>
      </c>
      <c r="CL24" s="12">
        <f t="shared" si="6"/>
        <v>0</v>
      </c>
      <c r="CM24" s="12">
        <f t="shared" si="6"/>
        <v>0</v>
      </c>
      <c r="CN24" s="16">
        <f t="shared" si="6"/>
        <v>0</v>
      </c>
      <c r="CO24" s="59">
        <f t="shared" si="193"/>
        <v>0</v>
      </c>
      <c r="CP24" s="26"/>
      <c r="CQ24" s="68"/>
      <c r="CR24" s="12"/>
      <c r="CS24" s="12"/>
      <c r="CT24" s="12"/>
      <c r="CU24" s="12"/>
      <c r="CV24" s="15"/>
      <c r="CW24" s="15"/>
      <c r="CX24" s="15"/>
      <c r="CY24" s="61">
        <f t="shared" si="7"/>
        <v>0</v>
      </c>
      <c r="CZ24" s="66">
        <f t="shared" si="194"/>
        <v>0</v>
      </c>
      <c r="DA24" s="12">
        <f t="shared" si="8"/>
        <v>0</v>
      </c>
      <c r="DB24" s="12">
        <f t="shared" si="8"/>
        <v>0</v>
      </c>
      <c r="DC24" s="12">
        <f t="shared" si="8"/>
        <v>0</v>
      </c>
      <c r="DD24" s="12">
        <f t="shared" si="8"/>
        <v>0</v>
      </c>
      <c r="DE24" s="12">
        <f t="shared" si="8"/>
        <v>0</v>
      </c>
      <c r="DF24" s="16">
        <f t="shared" si="8"/>
        <v>0</v>
      </c>
      <c r="DG24" s="59">
        <f t="shared" si="195"/>
        <v>0</v>
      </c>
      <c r="DH24" s="26"/>
      <c r="DI24" s="68"/>
      <c r="DJ24" s="12"/>
      <c r="DK24" s="12"/>
      <c r="DL24" s="12"/>
      <c r="DM24" s="12"/>
      <c r="DN24" s="15"/>
      <c r="DO24" s="15"/>
      <c r="DP24" s="15"/>
      <c r="DQ24" s="61">
        <f t="shared" si="9"/>
        <v>0</v>
      </c>
      <c r="DR24" s="66">
        <f t="shared" si="48"/>
        <v>0</v>
      </c>
      <c r="DS24" s="12">
        <f t="shared" si="10"/>
        <v>0</v>
      </c>
      <c r="DT24" s="12">
        <f t="shared" si="10"/>
        <v>0</v>
      </c>
      <c r="DU24" s="12">
        <f t="shared" si="10"/>
        <v>0</v>
      </c>
      <c r="DV24" s="12">
        <f t="shared" si="10"/>
        <v>0</v>
      </c>
      <c r="DW24" s="12">
        <f t="shared" si="10"/>
        <v>0</v>
      </c>
      <c r="DX24" s="16">
        <f t="shared" si="10"/>
        <v>0</v>
      </c>
      <c r="DY24" s="59">
        <f t="shared" si="196"/>
        <v>0</v>
      </c>
      <c r="DZ24" s="26"/>
      <c r="EA24" s="68"/>
      <c r="EB24" s="12"/>
      <c r="EC24" s="12"/>
      <c r="ED24" s="12"/>
      <c r="EE24" s="15"/>
      <c r="EF24" s="15"/>
      <c r="EG24" s="15"/>
      <c r="EH24" s="61">
        <f t="shared" si="197"/>
        <v>0</v>
      </c>
      <c r="EI24" s="66">
        <f t="shared" si="11"/>
        <v>0</v>
      </c>
      <c r="EJ24" s="12">
        <f t="shared" si="11"/>
        <v>0</v>
      </c>
      <c r="EK24" s="12">
        <f t="shared" si="11"/>
        <v>0</v>
      </c>
      <c r="EL24" s="12">
        <f t="shared" si="11"/>
        <v>0</v>
      </c>
      <c r="EM24" s="12">
        <f t="shared" si="11"/>
        <v>0</v>
      </c>
      <c r="EN24" s="16">
        <f t="shared" si="11"/>
        <v>0</v>
      </c>
      <c r="EO24" s="59">
        <f t="shared" si="198"/>
        <v>0</v>
      </c>
      <c r="EP24" s="26"/>
      <c r="EQ24" s="68"/>
      <c r="ER24" s="12"/>
      <c r="ES24" s="12"/>
      <c r="ET24" s="15"/>
      <c r="EU24" s="15"/>
      <c r="EV24" s="61">
        <f t="shared" si="199"/>
        <v>0</v>
      </c>
      <c r="EW24" s="66">
        <f t="shared" si="49"/>
        <v>0</v>
      </c>
      <c r="EX24" s="12">
        <f t="shared" si="49"/>
        <v>0</v>
      </c>
      <c r="EY24" s="12">
        <f t="shared" si="49"/>
        <v>0</v>
      </c>
      <c r="EZ24" s="16">
        <f t="shared" si="49"/>
        <v>0</v>
      </c>
      <c r="FA24" s="59">
        <f t="shared" si="200"/>
        <v>0</v>
      </c>
      <c r="FB24" s="26"/>
      <c r="FC24" s="68"/>
      <c r="FD24" s="12"/>
      <c r="FE24" s="15"/>
      <c r="FF24" s="15"/>
      <c r="FG24" s="61">
        <f t="shared" si="201"/>
        <v>0</v>
      </c>
      <c r="FH24" s="66">
        <f t="shared" si="50"/>
        <v>0</v>
      </c>
      <c r="FI24" s="12">
        <f t="shared" si="50"/>
        <v>0</v>
      </c>
      <c r="FJ24" s="16">
        <f t="shared" si="50"/>
        <v>0</v>
      </c>
      <c r="FK24" s="59">
        <f t="shared" si="202"/>
        <v>0</v>
      </c>
      <c r="FL24" s="26"/>
      <c r="FM24" s="68"/>
      <c r="FN24" s="12"/>
      <c r="FO24" s="15"/>
      <c r="FP24" s="15"/>
      <c r="FQ24" s="15"/>
      <c r="FR24" s="15"/>
      <c r="FS24" s="61">
        <f t="shared" si="203"/>
        <v>0</v>
      </c>
      <c r="FT24" s="66">
        <f t="shared" si="204"/>
        <v>0</v>
      </c>
      <c r="FU24" s="12">
        <f t="shared" si="205"/>
        <v>0</v>
      </c>
      <c r="FV24" s="12">
        <f t="shared" si="206"/>
        <v>0</v>
      </c>
      <c r="FW24" s="12">
        <f t="shared" si="207"/>
        <v>0</v>
      </c>
      <c r="FX24" s="16">
        <f t="shared" si="51"/>
        <v>0</v>
      </c>
      <c r="FY24" s="59">
        <f t="shared" si="52"/>
        <v>0</v>
      </c>
      <c r="FZ24" s="26"/>
      <c r="GA24" s="68"/>
      <c r="GB24" s="12"/>
      <c r="GC24" s="15"/>
      <c r="GD24" s="15"/>
      <c r="GE24" s="15"/>
      <c r="GF24" s="61">
        <f t="shared" si="208"/>
        <v>0</v>
      </c>
      <c r="GG24" s="66">
        <f t="shared" si="53"/>
        <v>0</v>
      </c>
      <c r="GH24" s="66">
        <f t="shared" si="12"/>
        <v>0</v>
      </c>
      <c r="GI24" s="12">
        <f t="shared" si="13"/>
        <v>0</v>
      </c>
      <c r="GJ24" s="12">
        <f t="shared" si="179"/>
        <v>0</v>
      </c>
      <c r="GK24" s="31">
        <f t="shared" si="14"/>
        <v>0</v>
      </c>
      <c r="GL24" s="123">
        <f t="shared" si="15"/>
        <v>0</v>
      </c>
      <c r="GM24" s="410">
        <f t="shared" si="16"/>
        <v>0</v>
      </c>
      <c r="GN24" s="414"/>
      <c r="GO24" s="68"/>
      <c r="GP24" s="12"/>
      <c r="GQ24" s="15"/>
      <c r="GR24" s="15"/>
      <c r="GS24" s="15"/>
      <c r="GT24" s="15"/>
      <c r="GU24" s="61">
        <f t="shared" si="54"/>
        <v>0</v>
      </c>
      <c r="GV24" s="66">
        <f t="shared" si="17"/>
        <v>0</v>
      </c>
      <c r="GW24" s="12">
        <f t="shared" si="18"/>
        <v>0</v>
      </c>
      <c r="GX24" s="12">
        <f t="shared" si="19"/>
        <v>0</v>
      </c>
      <c r="GY24" s="12">
        <f t="shared" si="20"/>
        <v>0</v>
      </c>
      <c r="GZ24" s="16">
        <f t="shared" si="21"/>
        <v>0</v>
      </c>
      <c r="HA24" s="59">
        <f t="shared" si="55"/>
        <v>0</v>
      </c>
      <c r="HB24" s="26"/>
      <c r="HC24" s="68"/>
      <c r="HD24" s="12"/>
      <c r="HE24" s="15"/>
      <c r="HF24" s="15"/>
      <c r="HG24" s="15"/>
      <c r="HH24" s="15"/>
      <c r="HI24" s="15"/>
      <c r="HJ24" s="15"/>
      <c r="HK24" s="15"/>
      <c r="HL24" s="61">
        <f t="shared" si="56"/>
        <v>0</v>
      </c>
      <c r="HM24" s="66">
        <f t="shared" si="22"/>
        <v>0</v>
      </c>
      <c r="HN24" s="12">
        <f t="shared" si="23"/>
        <v>0</v>
      </c>
      <c r="HO24" s="12">
        <f t="shared" si="24"/>
        <v>0</v>
      </c>
      <c r="HP24" s="12">
        <f t="shared" si="25"/>
        <v>0</v>
      </c>
      <c r="HQ24" s="12">
        <f t="shared" si="26"/>
        <v>0</v>
      </c>
      <c r="HR24" s="12">
        <f t="shared" si="27"/>
        <v>0</v>
      </c>
      <c r="HS24" s="12">
        <f t="shared" si="28"/>
        <v>0</v>
      </c>
      <c r="HT24" s="16">
        <f t="shared" si="29"/>
        <v>0</v>
      </c>
      <c r="HU24" s="59">
        <f t="shared" si="57"/>
        <v>0</v>
      </c>
      <c r="HV24" s="26"/>
      <c r="HW24" s="68"/>
      <c r="HX24" s="12"/>
      <c r="HY24" s="15"/>
      <c r="HZ24" s="61">
        <f t="shared" si="58"/>
        <v>0</v>
      </c>
      <c r="IA24" s="66">
        <f t="shared" si="59"/>
        <v>0</v>
      </c>
      <c r="IB24" s="16">
        <f t="shared" si="59"/>
        <v>0</v>
      </c>
      <c r="IC24" s="59">
        <f t="shared" si="60"/>
        <v>0</v>
      </c>
      <c r="ID24" s="26"/>
      <c r="IE24" s="68"/>
      <c r="IF24" s="12"/>
      <c r="IG24" s="15"/>
      <c r="IH24" s="15"/>
      <c r="II24" s="15"/>
      <c r="IJ24" s="15"/>
      <c r="IK24" s="15"/>
      <c r="IL24" s="15"/>
      <c r="IM24" s="15"/>
      <c r="IN24" s="15"/>
      <c r="IO24" s="61">
        <f t="shared" si="61"/>
        <v>0</v>
      </c>
      <c r="IP24" s="66">
        <f t="shared" si="62"/>
        <v>0</v>
      </c>
      <c r="IQ24" s="12">
        <f t="shared" si="63"/>
        <v>0</v>
      </c>
      <c r="IR24" s="12">
        <f t="shared" si="64"/>
        <v>0</v>
      </c>
      <c r="IS24" s="12">
        <f t="shared" si="65"/>
        <v>0</v>
      </c>
      <c r="IT24" s="12">
        <f t="shared" si="66"/>
        <v>0</v>
      </c>
      <c r="IU24" s="12">
        <f t="shared" si="67"/>
        <v>0</v>
      </c>
      <c r="IV24" s="12">
        <f t="shared" si="68"/>
        <v>0</v>
      </c>
      <c r="IW24" s="15">
        <f t="shared" si="69"/>
        <v>0</v>
      </c>
      <c r="IX24" s="16">
        <f t="shared" si="69"/>
        <v>0</v>
      </c>
      <c r="IY24" s="59">
        <f t="shared" si="70"/>
        <v>0</v>
      </c>
      <c r="IZ24" s="26"/>
      <c r="JA24" s="68"/>
      <c r="JB24" s="12"/>
      <c r="JC24" s="15"/>
      <c r="JD24" s="15"/>
      <c r="JE24" s="15"/>
      <c r="JF24" s="15"/>
      <c r="JG24" s="15"/>
      <c r="JH24" s="15"/>
      <c r="JI24" s="15"/>
      <c r="JJ24" s="15"/>
      <c r="JK24" s="61">
        <f t="shared" si="71"/>
        <v>0</v>
      </c>
      <c r="JL24" s="66">
        <f t="shared" si="72"/>
        <v>0</v>
      </c>
      <c r="JM24" s="12">
        <f t="shared" si="73"/>
        <v>0</v>
      </c>
      <c r="JN24" s="12">
        <f t="shared" si="74"/>
        <v>0</v>
      </c>
      <c r="JO24" s="12">
        <f t="shared" si="75"/>
        <v>0</v>
      </c>
      <c r="JP24" s="12">
        <f t="shared" si="76"/>
        <v>0</v>
      </c>
      <c r="JQ24" s="12">
        <f t="shared" si="77"/>
        <v>0</v>
      </c>
      <c r="JR24" s="12">
        <f t="shared" si="78"/>
        <v>0</v>
      </c>
      <c r="JS24" s="12">
        <f t="shared" si="79"/>
        <v>0</v>
      </c>
      <c r="JT24" s="16">
        <f t="shared" si="80"/>
        <v>0</v>
      </c>
      <c r="JU24" s="59">
        <f t="shared" si="81"/>
        <v>0</v>
      </c>
      <c r="JV24" s="26"/>
      <c r="JW24" s="68"/>
      <c r="JX24" s="12"/>
      <c r="JY24" s="12"/>
      <c r="JZ24" s="15"/>
      <c r="KA24" s="15"/>
      <c r="KB24" s="15"/>
      <c r="KC24" s="15"/>
      <c r="KD24" s="15"/>
      <c r="KE24" s="15"/>
      <c r="KF24" s="15"/>
      <c r="KG24" s="61">
        <f t="shared" si="82"/>
        <v>0</v>
      </c>
      <c r="KH24" s="146">
        <f t="shared" si="83"/>
        <v>0</v>
      </c>
      <c r="KI24" s="12">
        <f t="shared" si="83"/>
        <v>0</v>
      </c>
      <c r="KJ24" s="12">
        <f t="shared" si="84"/>
        <v>0</v>
      </c>
      <c r="KK24" s="12">
        <f t="shared" si="85"/>
        <v>0</v>
      </c>
      <c r="KL24" s="12">
        <f t="shared" si="86"/>
        <v>0</v>
      </c>
      <c r="KM24" s="12">
        <f t="shared" si="87"/>
        <v>0</v>
      </c>
      <c r="KN24" s="12">
        <f t="shared" si="88"/>
        <v>0</v>
      </c>
      <c r="KO24" s="12">
        <f t="shared" si="89"/>
        <v>0</v>
      </c>
      <c r="KP24" s="16">
        <f t="shared" si="90"/>
        <v>0</v>
      </c>
      <c r="KQ24" s="59">
        <f t="shared" si="91"/>
        <v>0</v>
      </c>
      <c r="KR24" s="26"/>
      <c r="KS24" s="68"/>
      <c r="KT24" s="12"/>
      <c r="KU24" s="15"/>
      <c r="KV24" s="15"/>
      <c r="KW24" s="15"/>
      <c r="KX24" s="15"/>
      <c r="KY24" s="15"/>
      <c r="KZ24" s="15"/>
      <c r="LA24" s="15"/>
      <c r="LB24" s="61">
        <f t="shared" si="92"/>
        <v>0</v>
      </c>
      <c r="LC24" s="66">
        <f t="shared" si="93"/>
        <v>0</v>
      </c>
      <c r="LD24" s="12">
        <f t="shared" si="94"/>
        <v>0</v>
      </c>
      <c r="LE24" s="12">
        <f t="shared" si="95"/>
        <v>0</v>
      </c>
      <c r="LF24" s="12">
        <f t="shared" si="96"/>
        <v>0</v>
      </c>
      <c r="LG24" s="12">
        <f t="shared" si="97"/>
        <v>0</v>
      </c>
      <c r="LH24" s="12">
        <f t="shared" si="98"/>
        <v>0</v>
      </c>
      <c r="LI24" s="12">
        <f t="shared" si="99"/>
        <v>0</v>
      </c>
      <c r="LJ24" s="16">
        <f t="shared" si="100"/>
        <v>0</v>
      </c>
      <c r="LK24" s="59">
        <f t="shared" si="101"/>
        <v>0</v>
      </c>
      <c r="LL24" s="26"/>
      <c r="LM24" s="68"/>
      <c r="LN24" s="15"/>
      <c r="LO24" s="15"/>
      <c r="LP24" s="15"/>
      <c r="LQ24" s="15"/>
      <c r="LR24" s="15"/>
      <c r="LS24" s="15"/>
      <c r="LT24" s="15"/>
      <c r="LU24" s="61">
        <f t="shared" si="102"/>
        <v>0</v>
      </c>
      <c r="LV24" s="66">
        <f t="shared" si="103"/>
        <v>0</v>
      </c>
      <c r="LW24" s="12">
        <f t="shared" si="104"/>
        <v>0</v>
      </c>
      <c r="LX24" s="12">
        <f t="shared" si="105"/>
        <v>0</v>
      </c>
      <c r="LY24" s="12">
        <f t="shared" si="106"/>
        <v>0</v>
      </c>
      <c r="LZ24" s="12">
        <f t="shared" si="107"/>
        <v>0</v>
      </c>
      <c r="MA24" s="12">
        <f t="shared" si="108"/>
        <v>0</v>
      </c>
      <c r="MB24" s="16">
        <f t="shared" si="109"/>
        <v>0</v>
      </c>
      <c r="MC24" s="59">
        <f t="shared" si="110"/>
        <v>0</v>
      </c>
      <c r="MD24" s="26"/>
      <c r="ME24" s="68"/>
      <c r="MF24" s="15"/>
      <c r="MG24" s="15"/>
      <c r="MH24" s="15"/>
      <c r="MI24" s="15"/>
      <c r="MJ24" s="15"/>
      <c r="MK24" s="15"/>
      <c r="ML24" s="15"/>
      <c r="MM24" s="61">
        <f t="shared" si="111"/>
        <v>0</v>
      </c>
      <c r="MN24" s="66">
        <f t="shared" si="112"/>
        <v>0</v>
      </c>
      <c r="MO24" s="12">
        <f t="shared" si="113"/>
        <v>0</v>
      </c>
      <c r="MP24" s="12">
        <f t="shared" si="114"/>
        <v>0</v>
      </c>
      <c r="MQ24" s="12">
        <f t="shared" si="115"/>
        <v>0</v>
      </c>
      <c r="MR24" s="12">
        <f t="shared" si="116"/>
        <v>0</v>
      </c>
      <c r="MS24" s="12">
        <f t="shared" si="116"/>
        <v>0</v>
      </c>
      <c r="MT24" s="16">
        <f t="shared" si="117"/>
        <v>0</v>
      </c>
      <c r="MU24" s="59">
        <f t="shared" si="189"/>
        <v>0</v>
      </c>
      <c r="MV24" s="621"/>
      <c r="MW24" s="619"/>
      <c r="MX24" s="15"/>
      <c r="MY24" s="15"/>
      <c r="MZ24" s="15"/>
      <c r="NA24" s="15"/>
      <c r="NB24" s="15"/>
      <c r="NC24" s="15"/>
      <c r="ND24" s="15"/>
      <c r="NE24" s="61">
        <f t="shared" si="118"/>
        <v>0</v>
      </c>
      <c r="NF24" s="66">
        <f t="shared" si="119"/>
        <v>0</v>
      </c>
      <c r="NG24" s="12">
        <f t="shared" si="120"/>
        <v>0</v>
      </c>
      <c r="NH24" s="12">
        <f t="shared" si="121"/>
        <v>0</v>
      </c>
      <c r="NI24" s="12">
        <f t="shared" si="122"/>
        <v>0</v>
      </c>
      <c r="NJ24" s="12">
        <f t="shared" si="123"/>
        <v>0</v>
      </c>
      <c r="NK24" s="12">
        <f t="shared" si="123"/>
        <v>0</v>
      </c>
      <c r="NL24" s="16">
        <f t="shared" si="124"/>
        <v>0</v>
      </c>
      <c r="NM24" s="59">
        <f t="shared" si="125"/>
        <v>0</v>
      </c>
      <c r="NN24" s="621"/>
      <c r="NO24" s="619"/>
      <c r="NP24" s="15"/>
      <c r="NQ24" s="15"/>
      <c r="NR24" s="15"/>
      <c r="NS24" s="15"/>
      <c r="NT24" s="15"/>
      <c r="NU24" s="61">
        <f t="shared" si="126"/>
        <v>0</v>
      </c>
      <c r="NV24" s="66">
        <f t="shared" si="190"/>
        <v>0</v>
      </c>
      <c r="NW24" s="12">
        <f t="shared" si="209"/>
        <v>0</v>
      </c>
      <c r="NX24" s="12">
        <f t="shared" si="210"/>
        <v>0</v>
      </c>
      <c r="NY24" s="12">
        <f t="shared" si="211"/>
        <v>0</v>
      </c>
      <c r="NZ24" s="16">
        <f t="shared" si="212"/>
        <v>0</v>
      </c>
      <c r="OA24" s="59">
        <f t="shared" si="131"/>
        <v>0</v>
      </c>
      <c r="OB24" s="135"/>
      <c r="OC24" s="133"/>
      <c r="OD24" s="15"/>
      <c r="OE24" s="15"/>
      <c r="OF24" s="15"/>
      <c r="OG24" s="15"/>
      <c r="OH24" s="15"/>
      <c r="OI24" s="61">
        <f t="shared" si="163"/>
        <v>0</v>
      </c>
      <c r="OJ24" s="66">
        <f t="shared" si="132"/>
        <v>0</v>
      </c>
      <c r="OK24" s="12">
        <f t="shared" si="133"/>
        <v>0</v>
      </c>
      <c r="OL24" s="12">
        <f t="shared" si="134"/>
        <v>0</v>
      </c>
      <c r="OM24" s="12">
        <f t="shared" si="135"/>
        <v>0</v>
      </c>
      <c r="ON24" s="16">
        <f t="shared" si="136"/>
        <v>0</v>
      </c>
      <c r="OO24" s="59">
        <f t="shared" si="137"/>
        <v>0</v>
      </c>
      <c r="OP24" s="135"/>
      <c r="OQ24" s="133"/>
      <c r="OR24" s="15"/>
      <c r="OS24" s="15"/>
      <c r="OT24" s="15"/>
      <c r="OU24" s="15"/>
      <c r="OV24" s="15"/>
      <c r="OW24" s="61">
        <f t="shared" si="138"/>
        <v>0</v>
      </c>
      <c r="OX24" s="66">
        <f t="shared" si="139"/>
        <v>0</v>
      </c>
      <c r="OY24" s="12">
        <f t="shared" si="140"/>
        <v>0</v>
      </c>
      <c r="OZ24" s="12">
        <f t="shared" si="141"/>
        <v>0</v>
      </c>
      <c r="PA24" s="12">
        <f t="shared" si="142"/>
        <v>0</v>
      </c>
      <c r="PB24" s="16">
        <f t="shared" si="143"/>
        <v>0</v>
      </c>
      <c r="PC24" s="59">
        <f t="shared" si="144"/>
        <v>0</v>
      </c>
      <c r="PD24" s="135"/>
      <c r="PE24" s="133"/>
      <c r="PF24" s="15"/>
      <c r="PG24" s="15"/>
      <c r="PH24" s="15"/>
      <c r="PI24" s="15"/>
      <c r="PJ24" s="15"/>
      <c r="PK24" s="61">
        <f t="shared" si="145"/>
        <v>0</v>
      </c>
      <c r="PL24" s="66">
        <f t="shared" si="174"/>
        <v>0</v>
      </c>
      <c r="PM24" s="12">
        <f t="shared" si="175"/>
        <v>0</v>
      </c>
      <c r="PN24" s="12">
        <f t="shared" si="176"/>
        <v>0</v>
      </c>
      <c r="PO24" s="12">
        <f t="shared" si="177"/>
        <v>0</v>
      </c>
      <c r="PP24" s="16">
        <f t="shared" si="178"/>
        <v>0</v>
      </c>
      <c r="PQ24" s="59">
        <f t="shared" si="150"/>
        <v>0</v>
      </c>
      <c r="PS24" s="884">
        <f t="shared" si="151"/>
        <v>0</v>
      </c>
    </row>
    <row r="25" spans="2:435" x14ac:dyDescent="0.2">
      <c r="B25" s="24">
        <v>18</v>
      </c>
      <c r="C25" s="872" t="s">
        <v>289</v>
      </c>
      <c r="D25" s="26"/>
      <c r="E25" s="42"/>
      <c r="F25" s="31"/>
      <c r="G25" s="12"/>
      <c r="H25" s="12"/>
      <c r="I25" s="12"/>
      <c r="J25" s="12"/>
      <c r="K25" s="15"/>
      <c r="L25" s="15"/>
      <c r="M25" s="61"/>
      <c r="N25" s="31"/>
      <c r="O25" s="12"/>
      <c r="P25" s="12"/>
      <c r="Q25" s="12"/>
      <c r="R25" s="12"/>
      <c r="S25" s="12"/>
      <c r="T25" s="15"/>
      <c r="U25" s="59"/>
      <c r="V25" s="26"/>
      <c r="W25" s="42"/>
      <c r="X25" s="31"/>
      <c r="Y25" s="12"/>
      <c r="Z25" s="12"/>
      <c r="AA25" s="12"/>
      <c r="AB25" s="12"/>
      <c r="AC25" s="15"/>
      <c r="AD25" s="15"/>
      <c r="AE25" s="15"/>
      <c r="AF25" s="61"/>
      <c r="AG25" s="35"/>
      <c r="AH25" s="35"/>
      <c r="AI25" s="35"/>
      <c r="AJ25" s="35"/>
      <c r="AK25" s="35"/>
      <c r="AL25" s="35"/>
      <c r="AM25" s="35"/>
      <c r="AN25" s="35"/>
      <c r="AO25" s="62"/>
      <c r="AP25" s="26"/>
      <c r="AQ25" s="42"/>
      <c r="AR25" s="12"/>
      <c r="AS25" s="12"/>
      <c r="AT25" s="12"/>
      <c r="AU25" s="15"/>
      <c r="AV25" s="15"/>
      <c r="AW25" s="15"/>
      <c r="AX25" s="61"/>
      <c r="AY25" s="35"/>
      <c r="AZ25" s="35"/>
      <c r="BA25" s="35"/>
      <c r="BB25" s="35"/>
      <c r="BC25" s="35"/>
      <c r="BD25" s="34"/>
      <c r="BE25" s="59"/>
      <c r="BF25" s="26"/>
      <c r="BG25" s="42"/>
      <c r="BH25" s="12"/>
      <c r="BI25" s="12"/>
      <c r="BJ25" s="12"/>
      <c r="BK25" s="15"/>
      <c r="BL25" s="15"/>
      <c r="BM25" s="15"/>
      <c r="BN25" s="15"/>
      <c r="BO25" s="61"/>
      <c r="BP25" s="65"/>
      <c r="BQ25" s="33"/>
      <c r="BR25" s="33"/>
      <c r="BS25" s="33"/>
      <c r="BT25" s="33"/>
      <c r="BU25" s="33"/>
      <c r="BV25" s="34"/>
      <c r="BW25" s="59"/>
      <c r="BX25" s="27"/>
      <c r="BY25" s="68"/>
      <c r="BZ25" s="31"/>
      <c r="CA25" s="12"/>
      <c r="CB25" s="12"/>
      <c r="CC25" s="15"/>
      <c r="CD25" s="15"/>
      <c r="CE25" s="15"/>
      <c r="CF25" s="15"/>
      <c r="CG25" s="61"/>
      <c r="CH25" s="66"/>
      <c r="CI25" s="12"/>
      <c r="CJ25" s="12"/>
      <c r="CK25" s="12"/>
      <c r="CL25" s="12"/>
      <c r="CM25" s="12"/>
      <c r="CN25" s="16"/>
      <c r="CO25" s="59"/>
      <c r="CP25" s="27"/>
      <c r="CQ25" s="68"/>
      <c r="CR25" s="12"/>
      <c r="CS25" s="12"/>
      <c r="CT25" s="12"/>
      <c r="CU25" s="15"/>
      <c r="CV25" s="15"/>
      <c r="CW25" s="15"/>
      <c r="CX25" s="15"/>
      <c r="CY25" s="61"/>
      <c r="CZ25" s="66"/>
      <c r="DA25" s="12"/>
      <c r="DB25" s="12"/>
      <c r="DC25" s="12"/>
      <c r="DD25" s="12"/>
      <c r="DE25" s="12"/>
      <c r="DF25" s="16"/>
      <c r="DG25" s="59"/>
      <c r="DH25" s="27"/>
      <c r="DI25" s="68"/>
      <c r="DJ25" s="12"/>
      <c r="DK25" s="12"/>
      <c r="DL25" s="12"/>
      <c r="DM25" s="15"/>
      <c r="DN25" s="15"/>
      <c r="DO25" s="15"/>
      <c r="DP25" s="15"/>
      <c r="DQ25" s="61"/>
      <c r="DR25" s="66"/>
      <c r="DS25" s="12"/>
      <c r="DT25" s="12"/>
      <c r="DU25" s="12"/>
      <c r="DV25" s="12"/>
      <c r="DW25" s="12"/>
      <c r="DX25" s="16"/>
      <c r="DY25" s="59"/>
      <c r="DZ25" s="27"/>
      <c r="EA25" s="68"/>
      <c r="EB25" s="12"/>
      <c r="EC25" s="12"/>
      <c r="ED25" s="15"/>
      <c r="EE25" s="15"/>
      <c r="EF25" s="15"/>
      <c r="EG25" s="15"/>
      <c r="EH25" s="61"/>
      <c r="EI25" s="66"/>
      <c r="EJ25" s="12"/>
      <c r="EK25" s="12"/>
      <c r="EL25" s="12"/>
      <c r="EM25" s="12"/>
      <c r="EN25" s="16"/>
      <c r="EO25" s="59"/>
      <c r="EP25" s="27"/>
      <c r="EQ25" s="68"/>
      <c r="ER25" s="12"/>
      <c r="ES25" s="12"/>
      <c r="ET25" s="15"/>
      <c r="EU25" s="15"/>
      <c r="EV25" s="61"/>
      <c r="EW25" s="66"/>
      <c r="EX25" s="12"/>
      <c r="EY25" s="12"/>
      <c r="EZ25" s="16"/>
      <c r="FA25" s="59"/>
      <c r="FB25" s="27"/>
      <c r="FC25" s="68"/>
      <c r="FD25" s="12"/>
      <c r="FE25" s="15"/>
      <c r="FF25" s="15"/>
      <c r="FG25" s="61"/>
      <c r="FH25" s="66"/>
      <c r="FI25" s="12"/>
      <c r="FJ25" s="16"/>
      <c r="FK25" s="59"/>
      <c r="FL25" s="27"/>
      <c r="FM25" s="68"/>
      <c r="FN25" s="12"/>
      <c r="FO25" s="15"/>
      <c r="FP25" s="15"/>
      <c r="FQ25" s="15"/>
      <c r="FR25" s="15"/>
      <c r="FS25" s="61"/>
      <c r="FT25" s="66"/>
      <c r="FU25" s="12"/>
      <c r="FV25" s="12"/>
      <c r="FW25" s="12"/>
      <c r="FX25" s="16"/>
      <c r="FY25" s="59"/>
      <c r="FZ25" s="27"/>
      <c r="GA25" s="68"/>
      <c r="GB25" s="12"/>
      <c r="GC25" s="15"/>
      <c r="GD25" s="15"/>
      <c r="GE25" s="15"/>
      <c r="GF25" s="61"/>
      <c r="GG25" s="66"/>
      <c r="GH25" s="66"/>
      <c r="GI25" s="12"/>
      <c r="GJ25" s="12"/>
      <c r="GK25" s="31"/>
      <c r="GL25" s="123"/>
      <c r="GM25" s="410"/>
      <c r="GN25" s="414"/>
      <c r="GO25" s="68"/>
      <c r="GP25" s="12"/>
      <c r="GQ25" s="15"/>
      <c r="GR25" s="15"/>
      <c r="GS25" s="15"/>
      <c r="GT25" s="15"/>
      <c r="GU25" s="61"/>
      <c r="GV25" s="66"/>
      <c r="GW25" s="12"/>
      <c r="GX25" s="12"/>
      <c r="GY25" s="12"/>
      <c r="GZ25" s="16"/>
      <c r="HA25" s="59"/>
      <c r="HB25" s="27"/>
      <c r="HC25" s="68"/>
      <c r="HD25" s="12"/>
      <c r="HE25" s="15"/>
      <c r="HF25" s="15"/>
      <c r="HG25" s="15"/>
      <c r="HH25" s="15"/>
      <c r="HI25" s="15"/>
      <c r="HJ25" s="15"/>
      <c r="HK25" s="15"/>
      <c r="HL25" s="61"/>
      <c r="HM25" s="66"/>
      <c r="HN25" s="12"/>
      <c r="HO25" s="12"/>
      <c r="HP25" s="12"/>
      <c r="HQ25" s="12"/>
      <c r="HR25" s="12"/>
      <c r="HS25" s="12"/>
      <c r="HT25" s="16"/>
      <c r="HU25" s="59"/>
      <c r="HV25" s="27"/>
      <c r="HW25" s="68"/>
      <c r="HX25" s="12"/>
      <c r="HY25" s="15"/>
      <c r="HZ25" s="61"/>
      <c r="IA25" s="66"/>
      <c r="IB25" s="16"/>
      <c r="IC25" s="59"/>
      <c r="ID25" s="27"/>
      <c r="IE25" s="68"/>
      <c r="IF25" s="12"/>
      <c r="IG25" s="15"/>
      <c r="IH25" s="15"/>
      <c r="II25" s="15"/>
      <c r="IJ25" s="15"/>
      <c r="IK25" s="15"/>
      <c r="IL25" s="15"/>
      <c r="IM25" s="15"/>
      <c r="IN25" s="15"/>
      <c r="IO25" s="61"/>
      <c r="IP25" s="66"/>
      <c r="IQ25" s="12"/>
      <c r="IR25" s="12"/>
      <c r="IS25" s="12"/>
      <c r="IT25" s="12"/>
      <c r="IU25" s="12"/>
      <c r="IV25" s="12"/>
      <c r="IW25" s="15"/>
      <c r="IX25" s="16"/>
      <c r="IY25" s="59"/>
      <c r="IZ25" s="27"/>
      <c r="JA25" s="68"/>
      <c r="JB25" s="12"/>
      <c r="JC25" s="15"/>
      <c r="JD25" s="15"/>
      <c r="JE25" s="15"/>
      <c r="JF25" s="15"/>
      <c r="JG25" s="15"/>
      <c r="JH25" s="15"/>
      <c r="JI25" s="15"/>
      <c r="JJ25" s="15"/>
      <c r="JK25" s="61"/>
      <c r="JL25" s="66"/>
      <c r="JM25" s="12"/>
      <c r="JN25" s="12"/>
      <c r="JO25" s="12"/>
      <c r="JP25" s="12"/>
      <c r="JQ25" s="12"/>
      <c r="JR25" s="12"/>
      <c r="JS25" s="12"/>
      <c r="JT25" s="16"/>
      <c r="JU25" s="59"/>
      <c r="JV25" s="27"/>
      <c r="JW25" s="68"/>
      <c r="JX25" s="12"/>
      <c r="JY25" s="12"/>
      <c r="JZ25" s="15"/>
      <c r="KA25" s="15"/>
      <c r="KB25" s="15"/>
      <c r="KC25" s="15"/>
      <c r="KD25" s="15"/>
      <c r="KE25" s="15"/>
      <c r="KF25" s="15"/>
      <c r="KG25" s="61"/>
      <c r="KH25" s="146"/>
      <c r="KI25" s="12"/>
      <c r="KJ25" s="12"/>
      <c r="KK25" s="12"/>
      <c r="KL25" s="12"/>
      <c r="KM25" s="12"/>
      <c r="KN25" s="12"/>
      <c r="KO25" s="12"/>
      <c r="KP25" s="16"/>
      <c r="KQ25" s="59"/>
      <c r="KR25" s="27"/>
      <c r="KS25" s="68"/>
      <c r="KT25" s="12"/>
      <c r="KU25" s="15"/>
      <c r="KV25" s="15"/>
      <c r="KW25" s="15"/>
      <c r="KX25" s="15"/>
      <c r="KY25" s="15"/>
      <c r="KZ25" s="15"/>
      <c r="LA25" s="15"/>
      <c r="LB25" s="61"/>
      <c r="LC25" s="66"/>
      <c r="LD25" s="12"/>
      <c r="LE25" s="12"/>
      <c r="LF25" s="12"/>
      <c r="LG25" s="12"/>
      <c r="LH25" s="12"/>
      <c r="LI25" s="12"/>
      <c r="LJ25" s="16"/>
      <c r="LK25" s="59"/>
      <c r="LL25" s="27"/>
      <c r="LM25" s="68"/>
      <c r="LN25" s="15"/>
      <c r="LO25" s="15"/>
      <c r="LP25" s="15"/>
      <c r="LQ25" s="15"/>
      <c r="LR25" s="15"/>
      <c r="LS25" s="15"/>
      <c r="LT25" s="15"/>
      <c r="LU25" s="61"/>
      <c r="LV25" s="66"/>
      <c r="LW25" s="12"/>
      <c r="LX25" s="12"/>
      <c r="LY25" s="12"/>
      <c r="LZ25" s="12"/>
      <c r="MA25" s="12"/>
      <c r="MB25" s="16"/>
      <c r="MC25" s="59"/>
      <c r="MD25" s="27"/>
      <c r="ME25" s="68"/>
      <c r="MF25" s="15"/>
      <c r="MG25" s="15"/>
      <c r="MH25" s="15"/>
      <c r="MI25" s="15"/>
      <c r="MJ25" s="15"/>
      <c r="MK25" s="15"/>
      <c r="ML25" s="15"/>
      <c r="MM25" s="61">
        <f t="shared" si="111"/>
        <v>0</v>
      </c>
      <c r="MN25" s="66"/>
      <c r="MO25" s="12"/>
      <c r="MP25" s="12"/>
      <c r="MQ25" s="12"/>
      <c r="MR25" s="12"/>
      <c r="MS25" s="12"/>
      <c r="MT25" s="16"/>
      <c r="MU25" s="59"/>
      <c r="MV25" s="622">
        <v>12500</v>
      </c>
      <c r="MW25" s="619">
        <v>0.5</v>
      </c>
      <c r="MX25" s="15"/>
      <c r="MY25" s="15"/>
      <c r="MZ25" s="15"/>
      <c r="NA25" s="15"/>
      <c r="NB25" s="15"/>
      <c r="NC25" s="15"/>
      <c r="ND25" s="15"/>
      <c r="NE25" s="61">
        <f t="shared" si="118"/>
        <v>0.5</v>
      </c>
      <c r="NF25" s="66">
        <f t="shared" ref="NF25:NF26" si="234">IF($MW25&lt;&gt;0,MX25*$MV25/$MW25,0)</f>
        <v>0</v>
      </c>
      <c r="NG25" s="12">
        <f t="shared" ref="NG25:NG26" si="235">IF($MW25&lt;&gt;0,MY25*$MV25/$MW25,0)</f>
        <v>0</v>
      </c>
      <c r="NH25" s="12">
        <f t="shared" ref="NH25:NH26" si="236">IF($MW25&lt;&gt;0,MZ25*$MV25/$MW25,0)</f>
        <v>0</v>
      </c>
      <c r="NI25" s="12">
        <f t="shared" ref="NI25:NI26" si="237">IF($MW25&lt;&gt;0,NA25*$MV25/$MW25,0)</f>
        <v>0</v>
      </c>
      <c r="NJ25" s="12">
        <f t="shared" ref="NJ25:NJ26" si="238">IF($MW25&lt;&gt;0,NB25*$MV25/$MW25,0)</f>
        <v>0</v>
      </c>
      <c r="NK25" s="12">
        <f t="shared" ref="NK25:NK26" si="239">IF($MW25&lt;&gt;0,NC25*$MV25/$MW25,0)</f>
        <v>0</v>
      </c>
      <c r="NL25" s="16">
        <f t="shared" ref="NL25:NL26" si="240">IF($MW25&lt;&gt;0,ND25*$MV25/$MW25,0)</f>
        <v>0</v>
      </c>
      <c r="NM25" s="59">
        <f t="shared" si="125"/>
        <v>12500</v>
      </c>
      <c r="NN25" s="622">
        <v>12500</v>
      </c>
      <c r="NO25" s="619">
        <v>0.5</v>
      </c>
      <c r="NP25" s="15"/>
      <c r="NQ25" s="15"/>
      <c r="NR25" s="15"/>
      <c r="NS25" s="15"/>
      <c r="NT25" s="15"/>
      <c r="NU25" s="61">
        <f t="shared" si="126"/>
        <v>0.5</v>
      </c>
      <c r="NV25" s="66">
        <f t="shared" ref="NV25:NV26" si="241">IF($NO25&lt;&gt;0,NP25*$NN25/$NO25,0)</f>
        <v>0</v>
      </c>
      <c r="NW25" s="12">
        <f t="shared" ref="NW25:NW26" si="242">IF($NO25&lt;&gt;0,NQ25*$NN25/$NO25,0)</f>
        <v>0</v>
      </c>
      <c r="NX25" s="12">
        <f t="shared" ref="NX25:NX26" si="243">IF($NO25&lt;&gt;0,NR25*$NN25/$NO25,0)</f>
        <v>0</v>
      </c>
      <c r="NY25" s="12">
        <f t="shared" ref="NY25:NY26" si="244">IF($NO25&lt;&gt;0,NS25*$NN25/$NO25,0)</f>
        <v>0</v>
      </c>
      <c r="NZ25" s="16">
        <f t="shared" ref="NZ25:NZ26" si="245">IF($NO25&lt;&gt;0,NT25*$NN25/$NO25,0)</f>
        <v>0</v>
      </c>
      <c r="OA25" s="59">
        <f t="shared" si="131"/>
        <v>12500</v>
      </c>
      <c r="OB25" s="616">
        <v>12500</v>
      </c>
      <c r="OC25" s="133">
        <v>0.5</v>
      </c>
      <c r="OD25" s="15"/>
      <c r="OE25" s="15"/>
      <c r="OF25" s="15"/>
      <c r="OG25" s="15"/>
      <c r="OH25" s="15"/>
      <c r="OI25" s="61">
        <f t="shared" si="163"/>
        <v>0.5</v>
      </c>
      <c r="OJ25" s="66">
        <f t="shared" ref="OJ25:OJ26" si="246">IF($OC25&lt;&gt;0,OD25*$OB25/$OC25,0)</f>
        <v>0</v>
      </c>
      <c r="OK25" s="12">
        <f t="shared" ref="OK25:OK26" si="247">IF($OC25&lt;&gt;0,OE25*$OB25/$OC25,0)</f>
        <v>0</v>
      </c>
      <c r="OL25" s="12">
        <f t="shared" ref="OL25:OL26" si="248">IF($OC25&lt;&gt;0,OF25*$OB25/$OC25,0)</f>
        <v>0</v>
      </c>
      <c r="OM25" s="12">
        <f t="shared" ref="OM25:OM26" si="249">IF($OC25&lt;&gt;0,OG25*$OB25/$OC25,0)</f>
        <v>0</v>
      </c>
      <c r="ON25" s="16">
        <f t="shared" ref="ON25:ON26" si="250">IF($OC25&lt;&gt;0,OH25*$OB25/$OC25,0)</f>
        <v>0</v>
      </c>
      <c r="OO25" s="59">
        <f t="shared" si="137"/>
        <v>12500</v>
      </c>
      <c r="OP25" s="616">
        <v>12500</v>
      </c>
      <c r="OQ25" s="133">
        <v>0.5</v>
      </c>
      <c r="OR25" s="15"/>
      <c r="OS25" s="15"/>
      <c r="OT25" s="15"/>
      <c r="OU25" s="15"/>
      <c r="OV25" s="15"/>
      <c r="OW25" s="61">
        <f t="shared" si="138"/>
        <v>0.5</v>
      </c>
      <c r="OX25" s="66">
        <f t="shared" ref="OX25:OX26" si="251">IF($OQ25&lt;&gt;0,OR25*$OP25/$OQ25,0)</f>
        <v>0</v>
      </c>
      <c r="OY25" s="12">
        <f t="shared" ref="OY25:OY26" si="252">IF($OQ25&lt;&gt;0,OS25*$OP25/$OQ25,0)</f>
        <v>0</v>
      </c>
      <c r="OZ25" s="12">
        <f t="shared" ref="OZ25:OZ26" si="253">IF($OQ25&lt;&gt;0,OT25*$OP25/$OQ25,0)</f>
        <v>0</v>
      </c>
      <c r="PA25" s="12">
        <f t="shared" ref="PA25:PA26" si="254">IF($OQ25&lt;&gt;0,OU25*$OP25/$OQ25,0)</f>
        <v>0</v>
      </c>
      <c r="PB25" s="16">
        <f t="shared" ref="PB25:PB26" si="255">IF($OQ25&lt;&gt;0,OV25*$OP25/$OQ25,0)</f>
        <v>0</v>
      </c>
      <c r="PC25" s="59">
        <f t="shared" si="144"/>
        <v>12500</v>
      </c>
      <c r="PD25" s="616">
        <v>12500</v>
      </c>
      <c r="PE25" s="133">
        <v>0.5</v>
      </c>
      <c r="PF25" s="15"/>
      <c r="PG25" s="15"/>
      <c r="PH25" s="15"/>
      <c r="PI25" s="15"/>
      <c r="PJ25" s="15"/>
      <c r="PK25" s="61">
        <f t="shared" si="145"/>
        <v>0.5</v>
      </c>
      <c r="PL25" s="66">
        <f t="shared" si="174"/>
        <v>0</v>
      </c>
      <c r="PM25" s="12">
        <f t="shared" si="175"/>
        <v>0</v>
      </c>
      <c r="PN25" s="12">
        <f t="shared" si="176"/>
        <v>0</v>
      </c>
      <c r="PO25" s="12">
        <f t="shared" si="177"/>
        <v>0</v>
      </c>
      <c r="PP25" s="16">
        <f t="shared" si="178"/>
        <v>0</v>
      </c>
      <c r="PQ25" s="59">
        <f t="shared" si="150"/>
        <v>12500</v>
      </c>
      <c r="PS25" s="884">
        <f t="shared" si="151"/>
        <v>0</v>
      </c>
    </row>
    <row r="26" spans="2:435" x14ac:dyDescent="0.2">
      <c r="B26" s="24">
        <v>19</v>
      </c>
      <c r="C26" s="872" t="s">
        <v>295</v>
      </c>
      <c r="D26" s="26"/>
      <c r="E26" s="42"/>
      <c r="F26" s="31"/>
      <c r="G26" s="12"/>
      <c r="H26" s="12"/>
      <c r="I26" s="12"/>
      <c r="J26" s="12"/>
      <c r="K26" s="15"/>
      <c r="L26" s="15"/>
      <c r="M26" s="61"/>
      <c r="N26" s="31"/>
      <c r="O26" s="12"/>
      <c r="P26" s="12"/>
      <c r="Q26" s="12"/>
      <c r="R26" s="12"/>
      <c r="S26" s="12"/>
      <c r="T26" s="15"/>
      <c r="U26" s="59"/>
      <c r="V26" s="26"/>
      <c r="W26" s="42"/>
      <c r="X26" s="31"/>
      <c r="Y26" s="12"/>
      <c r="Z26" s="12"/>
      <c r="AA26" s="12"/>
      <c r="AB26" s="12"/>
      <c r="AC26" s="15"/>
      <c r="AD26" s="15"/>
      <c r="AE26" s="15"/>
      <c r="AF26" s="61"/>
      <c r="AG26" s="35"/>
      <c r="AH26" s="35"/>
      <c r="AI26" s="35"/>
      <c r="AJ26" s="35"/>
      <c r="AK26" s="35"/>
      <c r="AL26" s="35"/>
      <c r="AM26" s="35"/>
      <c r="AN26" s="35"/>
      <c r="AO26" s="62"/>
      <c r="AP26" s="26"/>
      <c r="AQ26" s="42"/>
      <c r="AR26" s="12"/>
      <c r="AS26" s="12"/>
      <c r="AT26" s="12"/>
      <c r="AU26" s="15"/>
      <c r="AV26" s="15"/>
      <c r="AW26" s="15"/>
      <c r="AX26" s="61"/>
      <c r="AY26" s="35"/>
      <c r="AZ26" s="35"/>
      <c r="BA26" s="35"/>
      <c r="BB26" s="35"/>
      <c r="BC26" s="35"/>
      <c r="BD26" s="34"/>
      <c r="BE26" s="59"/>
      <c r="BF26" s="26"/>
      <c r="BG26" s="42"/>
      <c r="BH26" s="12"/>
      <c r="BI26" s="12"/>
      <c r="BJ26" s="12"/>
      <c r="BK26" s="15"/>
      <c r="BL26" s="15"/>
      <c r="BM26" s="15"/>
      <c r="BN26" s="15"/>
      <c r="BO26" s="61"/>
      <c r="BP26" s="65"/>
      <c r="BQ26" s="33"/>
      <c r="BR26" s="33"/>
      <c r="BS26" s="33"/>
      <c r="BT26" s="33"/>
      <c r="BU26" s="33"/>
      <c r="BV26" s="34"/>
      <c r="BW26" s="59"/>
      <c r="BX26" s="27"/>
      <c r="BY26" s="68"/>
      <c r="BZ26" s="31"/>
      <c r="CA26" s="12"/>
      <c r="CB26" s="12"/>
      <c r="CC26" s="15"/>
      <c r="CD26" s="15"/>
      <c r="CE26" s="15"/>
      <c r="CF26" s="15"/>
      <c r="CG26" s="61"/>
      <c r="CH26" s="66"/>
      <c r="CI26" s="12"/>
      <c r="CJ26" s="12"/>
      <c r="CK26" s="12"/>
      <c r="CL26" s="12"/>
      <c r="CM26" s="12"/>
      <c r="CN26" s="16"/>
      <c r="CO26" s="59"/>
      <c r="CP26" s="27"/>
      <c r="CQ26" s="68"/>
      <c r="CR26" s="12"/>
      <c r="CS26" s="12"/>
      <c r="CT26" s="12"/>
      <c r="CU26" s="15"/>
      <c r="CV26" s="15"/>
      <c r="CW26" s="15"/>
      <c r="CX26" s="15"/>
      <c r="CY26" s="61"/>
      <c r="CZ26" s="66"/>
      <c r="DA26" s="12"/>
      <c r="DB26" s="12"/>
      <c r="DC26" s="12"/>
      <c r="DD26" s="12"/>
      <c r="DE26" s="12"/>
      <c r="DF26" s="16"/>
      <c r="DG26" s="59"/>
      <c r="DH26" s="27"/>
      <c r="DI26" s="68"/>
      <c r="DJ26" s="12"/>
      <c r="DK26" s="12"/>
      <c r="DL26" s="12"/>
      <c r="DM26" s="15"/>
      <c r="DN26" s="15"/>
      <c r="DO26" s="15"/>
      <c r="DP26" s="15"/>
      <c r="DQ26" s="61"/>
      <c r="DR26" s="66"/>
      <c r="DS26" s="12"/>
      <c r="DT26" s="12"/>
      <c r="DU26" s="12"/>
      <c r="DV26" s="12"/>
      <c r="DW26" s="12"/>
      <c r="DX26" s="16"/>
      <c r="DY26" s="59"/>
      <c r="DZ26" s="27"/>
      <c r="EA26" s="68"/>
      <c r="EB26" s="12"/>
      <c r="EC26" s="12"/>
      <c r="ED26" s="15"/>
      <c r="EE26" s="15"/>
      <c r="EF26" s="15"/>
      <c r="EG26" s="15"/>
      <c r="EH26" s="61"/>
      <c r="EI26" s="66"/>
      <c r="EJ26" s="12"/>
      <c r="EK26" s="12"/>
      <c r="EL26" s="12"/>
      <c r="EM26" s="12"/>
      <c r="EN26" s="16"/>
      <c r="EO26" s="59"/>
      <c r="EP26" s="27"/>
      <c r="EQ26" s="68"/>
      <c r="ER26" s="12"/>
      <c r="ES26" s="12"/>
      <c r="ET26" s="15"/>
      <c r="EU26" s="15"/>
      <c r="EV26" s="61"/>
      <c r="EW26" s="66"/>
      <c r="EX26" s="12"/>
      <c r="EY26" s="12"/>
      <c r="EZ26" s="16"/>
      <c r="FA26" s="59"/>
      <c r="FB26" s="27"/>
      <c r="FC26" s="68"/>
      <c r="FD26" s="12"/>
      <c r="FE26" s="15"/>
      <c r="FF26" s="15"/>
      <c r="FG26" s="61"/>
      <c r="FH26" s="66"/>
      <c r="FI26" s="12"/>
      <c r="FJ26" s="16"/>
      <c r="FK26" s="59"/>
      <c r="FL26" s="27"/>
      <c r="FM26" s="68"/>
      <c r="FN26" s="12"/>
      <c r="FO26" s="15"/>
      <c r="FP26" s="15"/>
      <c r="FQ26" s="15"/>
      <c r="FR26" s="15"/>
      <c r="FS26" s="61"/>
      <c r="FT26" s="66"/>
      <c r="FU26" s="12"/>
      <c r="FV26" s="12"/>
      <c r="FW26" s="12"/>
      <c r="FX26" s="16"/>
      <c r="FY26" s="59"/>
      <c r="FZ26" s="27"/>
      <c r="GA26" s="68"/>
      <c r="GB26" s="12"/>
      <c r="GC26" s="15"/>
      <c r="GD26" s="15"/>
      <c r="GE26" s="15"/>
      <c r="GF26" s="61"/>
      <c r="GG26" s="66"/>
      <c r="GH26" s="66"/>
      <c r="GI26" s="12"/>
      <c r="GJ26" s="12"/>
      <c r="GK26" s="31"/>
      <c r="GL26" s="123"/>
      <c r="GM26" s="410"/>
      <c r="GN26" s="414"/>
      <c r="GO26" s="68"/>
      <c r="GP26" s="12"/>
      <c r="GQ26" s="15"/>
      <c r="GR26" s="15"/>
      <c r="GS26" s="15"/>
      <c r="GT26" s="15"/>
      <c r="GU26" s="61"/>
      <c r="GV26" s="66"/>
      <c r="GW26" s="12"/>
      <c r="GX26" s="12"/>
      <c r="GY26" s="12"/>
      <c r="GZ26" s="16"/>
      <c r="HA26" s="59"/>
      <c r="HB26" s="27"/>
      <c r="HC26" s="68"/>
      <c r="HD26" s="12"/>
      <c r="HE26" s="15"/>
      <c r="HF26" s="15"/>
      <c r="HG26" s="15"/>
      <c r="HH26" s="15"/>
      <c r="HI26" s="15"/>
      <c r="HJ26" s="15"/>
      <c r="HK26" s="15"/>
      <c r="HL26" s="61"/>
      <c r="HM26" s="66"/>
      <c r="HN26" s="12"/>
      <c r="HO26" s="12"/>
      <c r="HP26" s="12"/>
      <c r="HQ26" s="12"/>
      <c r="HR26" s="12"/>
      <c r="HS26" s="12"/>
      <c r="HT26" s="16"/>
      <c r="HU26" s="59"/>
      <c r="HV26" s="27"/>
      <c r="HW26" s="68"/>
      <c r="HX26" s="12"/>
      <c r="HY26" s="15"/>
      <c r="HZ26" s="61"/>
      <c r="IA26" s="66"/>
      <c r="IB26" s="16"/>
      <c r="IC26" s="59"/>
      <c r="ID26" s="27"/>
      <c r="IE26" s="68"/>
      <c r="IF26" s="12"/>
      <c r="IG26" s="15"/>
      <c r="IH26" s="15"/>
      <c r="II26" s="15"/>
      <c r="IJ26" s="15"/>
      <c r="IK26" s="15"/>
      <c r="IL26" s="15"/>
      <c r="IM26" s="15"/>
      <c r="IN26" s="15"/>
      <c r="IO26" s="61"/>
      <c r="IP26" s="66"/>
      <c r="IQ26" s="12"/>
      <c r="IR26" s="12"/>
      <c r="IS26" s="12"/>
      <c r="IT26" s="12"/>
      <c r="IU26" s="12"/>
      <c r="IV26" s="12"/>
      <c r="IW26" s="15"/>
      <c r="IX26" s="16"/>
      <c r="IY26" s="59"/>
      <c r="IZ26" s="27"/>
      <c r="JA26" s="68"/>
      <c r="JB26" s="12"/>
      <c r="JC26" s="15"/>
      <c r="JD26" s="15"/>
      <c r="JE26" s="15"/>
      <c r="JF26" s="15"/>
      <c r="JG26" s="15"/>
      <c r="JH26" s="15"/>
      <c r="JI26" s="15"/>
      <c r="JJ26" s="15"/>
      <c r="JK26" s="61"/>
      <c r="JL26" s="66"/>
      <c r="JM26" s="12"/>
      <c r="JN26" s="12"/>
      <c r="JO26" s="12"/>
      <c r="JP26" s="12"/>
      <c r="JQ26" s="12"/>
      <c r="JR26" s="12"/>
      <c r="JS26" s="12"/>
      <c r="JT26" s="16"/>
      <c r="JU26" s="59"/>
      <c r="JV26" s="27"/>
      <c r="JW26" s="68"/>
      <c r="JX26" s="12"/>
      <c r="JY26" s="12"/>
      <c r="JZ26" s="15"/>
      <c r="KA26" s="15"/>
      <c r="KB26" s="15"/>
      <c r="KC26" s="15"/>
      <c r="KD26" s="15"/>
      <c r="KE26" s="15"/>
      <c r="KF26" s="15"/>
      <c r="KG26" s="61"/>
      <c r="KH26" s="146"/>
      <c r="KI26" s="12"/>
      <c r="KJ26" s="12"/>
      <c r="KK26" s="12"/>
      <c r="KL26" s="12"/>
      <c r="KM26" s="12"/>
      <c r="KN26" s="12"/>
      <c r="KO26" s="12"/>
      <c r="KP26" s="16"/>
      <c r="KQ26" s="59"/>
      <c r="KR26" s="27"/>
      <c r="KS26" s="68"/>
      <c r="KT26" s="12"/>
      <c r="KU26" s="15"/>
      <c r="KV26" s="15"/>
      <c r="KW26" s="15"/>
      <c r="KX26" s="15"/>
      <c r="KY26" s="15"/>
      <c r="KZ26" s="15"/>
      <c r="LA26" s="15"/>
      <c r="LB26" s="61"/>
      <c r="LC26" s="66"/>
      <c r="LD26" s="12"/>
      <c r="LE26" s="12"/>
      <c r="LF26" s="12"/>
      <c r="LG26" s="12"/>
      <c r="LH26" s="12"/>
      <c r="LI26" s="12"/>
      <c r="LJ26" s="16"/>
      <c r="LK26" s="59"/>
      <c r="LL26" s="27"/>
      <c r="LM26" s="68"/>
      <c r="LN26" s="15"/>
      <c r="LO26" s="15"/>
      <c r="LP26" s="15"/>
      <c r="LQ26" s="15"/>
      <c r="LR26" s="15"/>
      <c r="LS26" s="15"/>
      <c r="LT26" s="15"/>
      <c r="LU26" s="61"/>
      <c r="LV26" s="66"/>
      <c r="LW26" s="12"/>
      <c r="LX26" s="12"/>
      <c r="LY26" s="12"/>
      <c r="LZ26" s="12"/>
      <c r="MA26" s="12"/>
      <c r="MB26" s="16"/>
      <c r="MC26" s="59"/>
      <c r="MD26" s="27"/>
      <c r="ME26" s="68"/>
      <c r="MF26" s="15"/>
      <c r="MG26" s="15"/>
      <c r="MH26" s="15"/>
      <c r="MI26" s="15"/>
      <c r="MJ26" s="15"/>
      <c r="MK26" s="15"/>
      <c r="ML26" s="15"/>
      <c r="MM26" s="61">
        <f t="shared" si="111"/>
        <v>0</v>
      </c>
      <c r="MN26" s="66"/>
      <c r="MO26" s="12"/>
      <c r="MP26" s="12"/>
      <c r="MQ26" s="12"/>
      <c r="MR26" s="12"/>
      <c r="MS26" s="12"/>
      <c r="MT26" s="16"/>
      <c r="MU26" s="59"/>
      <c r="MV26" s="622">
        <v>12500</v>
      </c>
      <c r="MW26" s="619">
        <v>0.5</v>
      </c>
      <c r="MX26" s="15"/>
      <c r="MY26" s="15"/>
      <c r="MZ26" s="15"/>
      <c r="NA26" s="15"/>
      <c r="NB26" s="15"/>
      <c r="NC26" s="15"/>
      <c r="ND26" s="15"/>
      <c r="NE26" s="61">
        <f t="shared" si="118"/>
        <v>0.5</v>
      </c>
      <c r="NF26" s="66">
        <f t="shared" si="234"/>
        <v>0</v>
      </c>
      <c r="NG26" s="12">
        <f t="shared" si="235"/>
        <v>0</v>
      </c>
      <c r="NH26" s="12">
        <f t="shared" si="236"/>
        <v>0</v>
      </c>
      <c r="NI26" s="12">
        <f t="shared" si="237"/>
        <v>0</v>
      </c>
      <c r="NJ26" s="12">
        <f t="shared" si="238"/>
        <v>0</v>
      </c>
      <c r="NK26" s="12">
        <f t="shared" si="239"/>
        <v>0</v>
      </c>
      <c r="NL26" s="16">
        <f t="shared" si="240"/>
        <v>0</v>
      </c>
      <c r="NM26" s="59">
        <f t="shared" si="125"/>
        <v>12500</v>
      </c>
      <c r="NN26" s="622">
        <v>12500</v>
      </c>
      <c r="NO26" s="619">
        <v>0.5</v>
      </c>
      <c r="NP26" s="15"/>
      <c r="NQ26" s="15"/>
      <c r="NR26" s="15"/>
      <c r="NS26" s="15"/>
      <c r="NT26" s="15"/>
      <c r="NU26" s="61">
        <f t="shared" si="126"/>
        <v>0.5</v>
      </c>
      <c r="NV26" s="66">
        <f t="shared" si="241"/>
        <v>0</v>
      </c>
      <c r="NW26" s="12">
        <f t="shared" si="242"/>
        <v>0</v>
      </c>
      <c r="NX26" s="12">
        <f t="shared" si="243"/>
        <v>0</v>
      </c>
      <c r="NY26" s="12">
        <f t="shared" si="244"/>
        <v>0</v>
      </c>
      <c r="NZ26" s="16">
        <f t="shared" si="245"/>
        <v>0</v>
      </c>
      <c r="OA26" s="59">
        <f t="shared" si="131"/>
        <v>12500</v>
      </c>
      <c r="OB26" s="616">
        <v>12500</v>
      </c>
      <c r="OC26" s="133">
        <v>0.5</v>
      </c>
      <c r="OD26" s="15"/>
      <c r="OE26" s="15"/>
      <c r="OF26" s="15"/>
      <c r="OG26" s="15"/>
      <c r="OH26" s="15"/>
      <c r="OI26" s="61">
        <f t="shared" si="163"/>
        <v>0.5</v>
      </c>
      <c r="OJ26" s="66">
        <f t="shared" si="246"/>
        <v>0</v>
      </c>
      <c r="OK26" s="12">
        <f t="shared" si="247"/>
        <v>0</v>
      </c>
      <c r="OL26" s="12">
        <f t="shared" si="248"/>
        <v>0</v>
      </c>
      <c r="OM26" s="12">
        <f t="shared" si="249"/>
        <v>0</v>
      </c>
      <c r="ON26" s="16">
        <f t="shared" si="250"/>
        <v>0</v>
      </c>
      <c r="OO26" s="59">
        <f t="shared" si="137"/>
        <v>12500</v>
      </c>
      <c r="OP26" s="616">
        <v>12500</v>
      </c>
      <c r="OQ26" s="133">
        <v>0.5</v>
      </c>
      <c r="OR26" s="15"/>
      <c r="OS26" s="15"/>
      <c r="OT26" s="15"/>
      <c r="OU26" s="15"/>
      <c r="OV26" s="15"/>
      <c r="OW26" s="61">
        <f t="shared" si="138"/>
        <v>0.5</v>
      </c>
      <c r="OX26" s="66">
        <f t="shared" si="251"/>
        <v>0</v>
      </c>
      <c r="OY26" s="12">
        <f t="shared" si="252"/>
        <v>0</v>
      </c>
      <c r="OZ26" s="12">
        <f t="shared" si="253"/>
        <v>0</v>
      </c>
      <c r="PA26" s="12">
        <f t="shared" si="254"/>
        <v>0</v>
      </c>
      <c r="PB26" s="16">
        <f t="shared" si="255"/>
        <v>0</v>
      </c>
      <c r="PC26" s="59">
        <f t="shared" si="144"/>
        <v>12500</v>
      </c>
      <c r="PD26" s="616">
        <v>12500</v>
      </c>
      <c r="PE26" s="133">
        <v>0.5</v>
      </c>
      <c r="PF26" s="15"/>
      <c r="PG26" s="15"/>
      <c r="PH26" s="15"/>
      <c r="PI26" s="15"/>
      <c r="PJ26" s="15"/>
      <c r="PK26" s="61">
        <f t="shared" si="145"/>
        <v>0.5</v>
      </c>
      <c r="PL26" s="66">
        <f t="shared" si="174"/>
        <v>0</v>
      </c>
      <c r="PM26" s="12">
        <f t="shared" si="175"/>
        <v>0</v>
      </c>
      <c r="PN26" s="12">
        <f t="shared" si="176"/>
        <v>0</v>
      </c>
      <c r="PO26" s="12">
        <f t="shared" si="177"/>
        <v>0</v>
      </c>
      <c r="PP26" s="16">
        <f t="shared" si="178"/>
        <v>0</v>
      </c>
      <c r="PQ26" s="59">
        <f t="shared" si="150"/>
        <v>12500</v>
      </c>
      <c r="PS26" s="884">
        <f t="shared" si="151"/>
        <v>0</v>
      </c>
    </row>
    <row r="27" spans="2:435" x14ac:dyDescent="0.2">
      <c r="B27" s="24"/>
      <c r="C27" s="137" t="s">
        <v>7</v>
      </c>
      <c r="D27" s="26">
        <v>35000</v>
      </c>
      <c r="E27" s="42">
        <v>1</v>
      </c>
      <c r="F27" s="31"/>
      <c r="G27" s="12"/>
      <c r="H27" s="12">
        <v>0.5</v>
      </c>
      <c r="I27" s="12">
        <v>0.25</v>
      </c>
      <c r="J27" s="12"/>
      <c r="K27" s="15"/>
      <c r="L27" s="15">
        <v>0.25</v>
      </c>
      <c r="M27" s="61">
        <f t="shared" si="41"/>
        <v>0</v>
      </c>
      <c r="N27" s="31">
        <f t="shared" si="0"/>
        <v>0</v>
      </c>
      <c r="O27" s="12">
        <f t="shared" si="0"/>
        <v>0</v>
      </c>
      <c r="P27" s="12">
        <f t="shared" si="0"/>
        <v>17500</v>
      </c>
      <c r="Q27" s="12">
        <f t="shared" si="0"/>
        <v>8750</v>
      </c>
      <c r="R27" s="12">
        <f t="shared" si="0"/>
        <v>0</v>
      </c>
      <c r="S27" s="12">
        <f t="shared" si="0"/>
        <v>0</v>
      </c>
      <c r="T27" s="15">
        <f t="shared" si="0"/>
        <v>8750</v>
      </c>
      <c r="U27" s="59">
        <f t="shared" si="191"/>
        <v>0</v>
      </c>
      <c r="V27" s="26">
        <v>35000</v>
      </c>
      <c r="W27" s="42">
        <v>1</v>
      </c>
      <c r="X27" s="31"/>
      <c r="Y27" s="12"/>
      <c r="Z27" s="12">
        <v>0.9</v>
      </c>
      <c r="AA27" s="12"/>
      <c r="AB27" s="12"/>
      <c r="AC27" s="15"/>
      <c r="AD27" s="15">
        <v>0.1</v>
      </c>
      <c r="AE27" s="15"/>
      <c r="AF27" s="61">
        <f t="shared" si="42"/>
        <v>0</v>
      </c>
      <c r="AG27" s="35">
        <f t="shared" si="43"/>
        <v>0</v>
      </c>
      <c r="AH27" s="35">
        <f t="shared" si="1"/>
        <v>0</v>
      </c>
      <c r="AI27" s="35">
        <f t="shared" si="1"/>
        <v>31500</v>
      </c>
      <c r="AJ27" s="35">
        <f t="shared" si="1"/>
        <v>0</v>
      </c>
      <c r="AK27" s="35">
        <f t="shared" si="1"/>
        <v>0</v>
      </c>
      <c r="AL27" s="35">
        <f t="shared" si="1"/>
        <v>0</v>
      </c>
      <c r="AM27" s="35">
        <f t="shared" si="1"/>
        <v>3500</v>
      </c>
      <c r="AN27" s="35">
        <f t="shared" si="1"/>
        <v>0</v>
      </c>
      <c r="AO27" s="62">
        <f t="shared" si="44"/>
        <v>0</v>
      </c>
      <c r="AP27" s="26">
        <v>35000</v>
      </c>
      <c r="AQ27" s="42">
        <v>1</v>
      </c>
      <c r="AR27" s="12"/>
      <c r="AS27" s="12"/>
      <c r="AT27" s="12"/>
      <c r="AU27" s="15">
        <v>1</v>
      </c>
      <c r="AV27" s="15"/>
      <c r="AW27" s="15"/>
      <c r="AX27" s="61">
        <f t="shared" si="45"/>
        <v>0</v>
      </c>
      <c r="AY27" s="35">
        <f t="shared" si="2"/>
        <v>0</v>
      </c>
      <c r="AZ27" s="35">
        <f t="shared" si="2"/>
        <v>0</v>
      </c>
      <c r="BA27" s="35">
        <f t="shared" si="2"/>
        <v>0</v>
      </c>
      <c r="BB27" s="35">
        <f t="shared" si="2"/>
        <v>35000</v>
      </c>
      <c r="BC27" s="35">
        <f t="shared" si="2"/>
        <v>0</v>
      </c>
      <c r="BD27" s="34">
        <f t="shared" si="2"/>
        <v>0</v>
      </c>
      <c r="BE27" s="59">
        <f t="shared" si="46"/>
        <v>0</v>
      </c>
      <c r="BF27" s="26">
        <v>35000</v>
      </c>
      <c r="BG27" s="42">
        <v>1</v>
      </c>
      <c r="BH27" s="12"/>
      <c r="BI27" s="12"/>
      <c r="BJ27" s="12"/>
      <c r="BK27" s="15">
        <v>1</v>
      </c>
      <c r="BL27" s="15"/>
      <c r="BM27" s="15"/>
      <c r="BN27" s="15"/>
      <c r="BO27" s="61">
        <f t="shared" si="3"/>
        <v>0</v>
      </c>
      <c r="BP27" s="65">
        <f t="shared" si="4"/>
        <v>0</v>
      </c>
      <c r="BQ27" s="33">
        <f t="shared" si="4"/>
        <v>0</v>
      </c>
      <c r="BR27" s="33">
        <f t="shared" si="4"/>
        <v>0</v>
      </c>
      <c r="BS27" s="33">
        <f t="shared" si="4"/>
        <v>35000</v>
      </c>
      <c r="BT27" s="33">
        <f t="shared" si="4"/>
        <v>0</v>
      </c>
      <c r="BU27" s="33">
        <f t="shared" si="4"/>
        <v>0</v>
      </c>
      <c r="BV27" s="34">
        <f t="shared" si="4"/>
        <v>0</v>
      </c>
      <c r="BW27" s="59">
        <f t="shared" si="192"/>
        <v>0</v>
      </c>
      <c r="BX27" s="69">
        <v>35000</v>
      </c>
      <c r="BY27" s="68">
        <v>1</v>
      </c>
      <c r="BZ27" s="31"/>
      <c r="CA27" s="12"/>
      <c r="CB27" s="12"/>
      <c r="CC27" s="15">
        <v>1</v>
      </c>
      <c r="CD27" s="15"/>
      <c r="CE27" s="15"/>
      <c r="CF27" s="15"/>
      <c r="CG27" s="61">
        <f t="shared" si="5"/>
        <v>0</v>
      </c>
      <c r="CH27" s="66">
        <f t="shared" si="47"/>
        <v>0</v>
      </c>
      <c r="CI27" s="12">
        <f t="shared" si="6"/>
        <v>0</v>
      </c>
      <c r="CJ27" s="12">
        <f t="shared" si="6"/>
        <v>0</v>
      </c>
      <c r="CK27" s="12">
        <f t="shared" si="6"/>
        <v>35000</v>
      </c>
      <c r="CL27" s="12">
        <f t="shared" si="6"/>
        <v>0</v>
      </c>
      <c r="CM27" s="12">
        <f t="shared" si="6"/>
        <v>0</v>
      </c>
      <c r="CN27" s="16">
        <f t="shared" si="6"/>
        <v>0</v>
      </c>
      <c r="CO27" s="59">
        <f t="shared" si="193"/>
        <v>0</v>
      </c>
      <c r="CP27" s="69">
        <v>35000</v>
      </c>
      <c r="CQ27" s="68">
        <v>1</v>
      </c>
      <c r="CR27" s="12"/>
      <c r="CS27" s="12"/>
      <c r="CT27" s="12"/>
      <c r="CU27" s="15">
        <v>1</v>
      </c>
      <c r="CV27" s="15"/>
      <c r="CW27" s="15"/>
      <c r="CX27" s="15"/>
      <c r="CY27" s="61">
        <f t="shared" si="7"/>
        <v>0</v>
      </c>
      <c r="CZ27" s="66">
        <f t="shared" si="194"/>
        <v>0</v>
      </c>
      <c r="DA27" s="12">
        <f t="shared" si="8"/>
        <v>0</v>
      </c>
      <c r="DB27" s="12">
        <f t="shared" si="8"/>
        <v>0</v>
      </c>
      <c r="DC27" s="12">
        <f t="shared" si="8"/>
        <v>35000</v>
      </c>
      <c r="DD27" s="12">
        <f t="shared" si="8"/>
        <v>0</v>
      </c>
      <c r="DE27" s="12">
        <f t="shared" si="8"/>
        <v>0</v>
      </c>
      <c r="DF27" s="16">
        <f t="shared" si="8"/>
        <v>0</v>
      </c>
      <c r="DG27" s="59">
        <f t="shared" si="195"/>
        <v>0</v>
      </c>
      <c r="DH27" s="69">
        <f>8333.33+28571.52</f>
        <v>36904.85</v>
      </c>
      <c r="DI27" s="68">
        <v>1</v>
      </c>
      <c r="DJ27" s="12"/>
      <c r="DK27" s="12"/>
      <c r="DL27" s="12"/>
      <c r="DM27" s="15">
        <v>1</v>
      </c>
      <c r="DN27" s="15"/>
      <c r="DO27" s="15"/>
      <c r="DP27" s="15"/>
      <c r="DQ27" s="61">
        <f t="shared" si="9"/>
        <v>0</v>
      </c>
      <c r="DR27" s="66">
        <f t="shared" si="48"/>
        <v>0</v>
      </c>
      <c r="DS27" s="12">
        <f t="shared" si="10"/>
        <v>0</v>
      </c>
      <c r="DT27" s="12">
        <f t="shared" si="10"/>
        <v>0</v>
      </c>
      <c r="DU27" s="12">
        <f t="shared" si="10"/>
        <v>36904.85</v>
      </c>
      <c r="DV27" s="12">
        <f t="shared" si="10"/>
        <v>0</v>
      </c>
      <c r="DW27" s="12">
        <f t="shared" si="10"/>
        <v>0</v>
      </c>
      <c r="DX27" s="16">
        <f t="shared" si="10"/>
        <v>0</v>
      </c>
      <c r="DY27" s="59">
        <f t="shared" si="196"/>
        <v>0</v>
      </c>
      <c r="DZ27" s="69">
        <f>19782.61+16684.78</f>
        <v>36467.39</v>
      </c>
      <c r="EA27" s="68">
        <v>1</v>
      </c>
      <c r="EB27" s="12"/>
      <c r="EC27" s="12"/>
      <c r="ED27" s="15">
        <v>0.5</v>
      </c>
      <c r="EE27" s="15">
        <v>0.5</v>
      </c>
      <c r="EF27" s="15"/>
      <c r="EG27" s="15"/>
      <c r="EH27" s="61">
        <f t="shared" si="197"/>
        <v>0</v>
      </c>
      <c r="EI27" s="66">
        <f t="shared" si="11"/>
        <v>0</v>
      </c>
      <c r="EJ27" s="12">
        <f t="shared" si="11"/>
        <v>0</v>
      </c>
      <c r="EK27" s="12">
        <f t="shared" si="11"/>
        <v>18233.7</v>
      </c>
      <c r="EL27" s="12">
        <f t="shared" si="11"/>
        <v>18233.7</v>
      </c>
      <c r="EM27" s="12">
        <f t="shared" si="11"/>
        <v>0</v>
      </c>
      <c r="EN27" s="16">
        <f t="shared" si="11"/>
        <v>0</v>
      </c>
      <c r="EO27" s="59">
        <f t="shared" si="198"/>
        <v>-0.01</v>
      </c>
      <c r="EP27" s="69">
        <v>35000</v>
      </c>
      <c r="EQ27" s="68">
        <v>1</v>
      </c>
      <c r="ER27" s="12"/>
      <c r="ES27" s="12"/>
      <c r="ET27" s="15">
        <v>1</v>
      </c>
      <c r="EU27" s="15"/>
      <c r="EV27" s="61">
        <f t="shared" si="199"/>
        <v>0</v>
      </c>
      <c r="EW27" s="66">
        <f t="shared" si="49"/>
        <v>0</v>
      </c>
      <c r="EX27" s="12">
        <f t="shared" si="49"/>
        <v>0</v>
      </c>
      <c r="EY27" s="12">
        <f t="shared" si="49"/>
        <v>35000</v>
      </c>
      <c r="EZ27" s="16">
        <f t="shared" si="49"/>
        <v>0</v>
      </c>
      <c r="FA27" s="59">
        <f t="shared" si="200"/>
        <v>0</v>
      </c>
      <c r="FB27" s="69">
        <v>35000</v>
      </c>
      <c r="FC27" s="68">
        <v>1</v>
      </c>
      <c r="FD27" s="12"/>
      <c r="FE27" s="15">
        <v>1</v>
      </c>
      <c r="FF27" s="15"/>
      <c r="FG27" s="61">
        <f t="shared" si="201"/>
        <v>0</v>
      </c>
      <c r="FH27" s="66">
        <f t="shared" si="50"/>
        <v>0</v>
      </c>
      <c r="FI27" s="12">
        <f t="shared" si="50"/>
        <v>35000</v>
      </c>
      <c r="FJ27" s="16">
        <f t="shared" si="50"/>
        <v>0</v>
      </c>
      <c r="FK27" s="59">
        <f t="shared" si="202"/>
        <v>0</v>
      </c>
      <c r="FL27" s="69">
        <v>35000</v>
      </c>
      <c r="FM27" s="68">
        <v>1</v>
      </c>
      <c r="FN27" s="12"/>
      <c r="FO27" s="15">
        <v>1</v>
      </c>
      <c r="FP27" s="15"/>
      <c r="FQ27" s="15"/>
      <c r="FR27" s="15"/>
      <c r="FS27" s="61">
        <f t="shared" si="203"/>
        <v>0</v>
      </c>
      <c r="FT27" s="66">
        <f t="shared" si="204"/>
        <v>0</v>
      </c>
      <c r="FU27" s="12">
        <f t="shared" si="205"/>
        <v>35000</v>
      </c>
      <c r="FV27" s="12">
        <f t="shared" si="206"/>
        <v>0</v>
      </c>
      <c r="FW27" s="12">
        <f t="shared" si="207"/>
        <v>0</v>
      </c>
      <c r="FX27" s="16">
        <f t="shared" si="51"/>
        <v>0</v>
      </c>
      <c r="FY27" s="59">
        <f t="shared" si="52"/>
        <v>0</v>
      </c>
      <c r="FZ27" s="69">
        <f>35000+54910.2</f>
        <v>89910.2</v>
      </c>
      <c r="GA27" s="68">
        <v>1</v>
      </c>
      <c r="GB27" s="12"/>
      <c r="GC27" s="15">
        <v>1</v>
      </c>
      <c r="GD27" s="15"/>
      <c r="GE27" s="15"/>
      <c r="GF27" s="61">
        <f t="shared" si="208"/>
        <v>0</v>
      </c>
      <c r="GG27" s="66">
        <f t="shared" si="53"/>
        <v>0</v>
      </c>
      <c r="GH27" s="66">
        <f t="shared" si="12"/>
        <v>0</v>
      </c>
      <c r="GI27" s="12">
        <f t="shared" si="13"/>
        <v>89910.2</v>
      </c>
      <c r="GJ27" s="12">
        <f t="shared" si="179"/>
        <v>89910.2</v>
      </c>
      <c r="GK27" s="31">
        <f t="shared" si="14"/>
        <v>0</v>
      </c>
      <c r="GL27" s="123">
        <f t="shared" si="15"/>
        <v>0</v>
      </c>
      <c r="GM27" s="410">
        <f t="shared" si="16"/>
        <v>0</v>
      </c>
      <c r="GN27" s="414">
        <f>2187.5</f>
        <v>2187.5</v>
      </c>
      <c r="GO27" s="68">
        <f>1/31</f>
        <v>0.03</v>
      </c>
      <c r="GP27" s="12"/>
      <c r="GQ27" s="15"/>
      <c r="GR27" s="15"/>
      <c r="GS27" s="15"/>
      <c r="GT27" s="15"/>
      <c r="GU27" s="61">
        <f t="shared" si="54"/>
        <v>0.03</v>
      </c>
      <c r="GV27" s="66">
        <f t="shared" si="17"/>
        <v>0</v>
      </c>
      <c r="GW27" s="12">
        <f t="shared" si="18"/>
        <v>0</v>
      </c>
      <c r="GX27" s="12">
        <f t="shared" si="19"/>
        <v>0</v>
      </c>
      <c r="GY27" s="12">
        <f t="shared" si="20"/>
        <v>0</v>
      </c>
      <c r="GZ27" s="16">
        <f t="shared" si="21"/>
        <v>0</v>
      </c>
      <c r="HA27" s="59">
        <f t="shared" si="55"/>
        <v>2187.5</v>
      </c>
      <c r="HB27" s="69"/>
      <c r="HC27" s="68"/>
      <c r="HD27" s="12"/>
      <c r="HE27" s="15"/>
      <c r="HF27" s="15"/>
      <c r="HG27" s="15"/>
      <c r="HH27" s="15"/>
      <c r="HI27" s="15"/>
      <c r="HJ27" s="15"/>
      <c r="HK27" s="15"/>
      <c r="HL27" s="61">
        <f t="shared" si="56"/>
        <v>0</v>
      </c>
      <c r="HM27" s="66">
        <f t="shared" si="22"/>
        <v>0</v>
      </c>
      <c r="HN27" s="12">
        <f t="shared" si="23"/>
        <v>0</v>
      </c>
      <c r="HO27" s="12">
        <f t="shared" si="24"/>
        <v>0</v>
      </c>
      <c r="HP27" s="12">
        <f t="shared" si="25"/>
        <v>0</v>
      </c>
      <c r="HQ27" s="12">
        <f t="shared" si="26"/>
        <v>0</v>
      </c>
      <c r="HR27" s="12">
        <f t="shared" si="27"/>
        <v>0</v>
      </c>
      <c r="HS27" s="12">
        <f t="shared" si="28"/>
        <v>0</v>
      </c>
      <c r="HT27" s="16">
        <f t="shared" si="29"/>
        <v>0</v>
      </c>
      <c r="HU27" s="59">
        <f t="shared" si="57"/>
        <v>0</v>
      </c>
      <c r="HV27" s="69"/>
      <c r="HW27" s="68"/>
      <c r="HX27" s="12"/>
      <c r="HY27" s="15"/>
      <c r="HZ27" s="61">
        <f t="shared" si="58"/>
        <v>0</v>
      </c>
      <c r="IA27" s="66">
        <f t="shared" si="59"/>
        <v>0</v>
      </c>
      <c r="IB27" s="16">
        <f t="shared" si="59"/>
        <v>0</v>
      </c>
      <c r="IC27" s="59">
        <f t="shared" si="60"/>
        <v>0</v>
      </c>
      <c r="ID27" s="69"/>
      <c r="IE27" s="68"/>
      <c r="IF27" s="12"/>
      <c r="IG27" s="15"/>
      <c r="IH27" s="15"/>
      <c r="II27" s="15"/>
      <c r="IJ27" s="15"/>
      <c r="IK27" s="15"/>
      <c r="IL27" s="15"/>
      <c r="IM27" s="15"/>
      <c r="IN27" s="15"/>
      <c r="IO27" s="61">
        <f t="shared" si="61"/>
        <v>0</v>
      </c>
      <c r="IP27" s="66">
        <f t="shared" si="62"/>
        <v>0</v>
      </c>
      <c r="IQ27" s="12">
        <f t="shared" si="63"/>
        <v>0</v>
      </c>
      <c r="IR27" s="12">
        <f t="shared" si="64"/>
        <v>0</v>
      </c>
      <c r="IS27" s="12">
        <f t="shared" si="65"/>
        <v>0</v>
      </c>
      <c r="IT27" s="12">
        <f t="shared" si="66"/>
        <v>0</v>
      </c>
      <c r="IU27" s="12">
        <f t="shared" si="67"/>
        <v>0</v>
      </c>
      <c r="IV27" s="12">
        <f t="shared" si="68"/>
        <v>0</v>
      </c>
      <c r="IW27" s="15">
        <f t="shared" si="69"/>
        <v>0</v>
      </c>
      <c r="IX27" s="16">
        <f t="shared" si="69"/>
        <v>0</v>
      </c>
      <c r="IY27" s="59">
        <f t="shared" si="70"/>
        <v>0</v>
      </c>
      <c r="IZ27" s="69"/>
      <c r="JA27" s="68"/>
      <c r="JB27" s="12"/>
      <c r="JC27" s="15"/>
      <c r="JD27" s="15"/>
      <c r="JE27" s="15"/>
      <c r="JF27" s="15"/>
      <c r="JG27" s="15"/>
      <c r="JH27" s="15"/>
      <c r="JI27" s="15"/>
      <c r="JJ27" s="15"/>
      <c r="JK27" s="61">
        <f t="shared" si="71"/>
        <v>0</v>
      </c>
      <c r="JL27" s="66">
        <f t="shared" si="72"/>
        <v>0</v>
      </c>
      <c r="JM27" s="12">
        <f t="shared" si="73"/>
        <v>0</v>
      </c>
      <c r="JN27" s="12">
        <f t="shared" si="74"/>
        <v>0</v>
      </c>
      <c r="JO27" s="12">
        <f t="shared" si="75"/>
        <v>0</v>
      </c>
      <c r="JP27" s="12">
        <f t="shared" si="76"/>
        <v>0</v>
      </c>
      <c r="JQ27" s="12">
        <f t="shared" si="77"/>
        <v>0</v>
      </c>
      <c r="JR27" s="12">
        <f t="shared" si="78"/>
        <v>0</v>
      </c>
      <c r="JS27" s="12">
        <f t="shared" si="79"/>
        <v>0</v>
      </c>
      <c r="JT27" s="16">
        <f t="shared" si="80"/>
        <v>0</v>
      </c>
      <c r="JU27" s="59">
        <f t="shared" si="81"/>
        <v>0</v>
      </c>
      <c r="JV27" s="69"/>
      <c r="JW27" s="68"/>
      <c r="JX27" s="12"/>
      <c r="JY27" s="12"/>
      <c r="JZ27" s="15"/>
      <c r="KA27" s="15"/>
      <c r="KB27" s="15"/>
      <c r="KC27" s="15"/>
      <c r="KD27" s="15"/>
      <c r="KE27" s="15"/>
      <c r="KF27" s="15"/>
      <c r="KG27" s="61">
        <f t="shared" si="82"/>
        <v>0</v>
      </c>
      <c r="KH27" s="146">
        <f t="shared" si="83"/>
        <v>0</v>
      </c>
      <c r="KI27" s="12">
        <f t="shared" si="83"/>
        <v>0</v>
      </c>
      <c r="KJ27" s="12">
        <f t="shared" si="84"/>
        <v>0</v>
      </c>
      <c r="KK27" s="12">
        <f t="shared" si="85"/>
        <v>0</v>
      </c>
      <c r="KL27" s="12">
        <f t="shared" si="86"/>
        <v>0</v>
      </c>
      <c r="KM27" s="12">
        <f t="shared" si="87"/>
        <v>0</v>
      </c>
      <c r="KN27" s="12">
        <f t="shared" si="88"/>
        <v>0</v>
      </c>
      <c r="KO27" s="12">
        <f t="shared" si="89"/>
        <v>0</v>
      </c>
      <c r="KP27" s="16">
        <f t="shared" si="90"/>
        <v>0</v>
      </c>
      <c r="KQ27" s="59">
        <f t="shared" si="91"/>
        <v>0</v>
      </c>
      <c r="KR27" s="69"/>
      <c r="KS27" s="68"/>
      <c r="KT27" s="12"/>
      <c r="KU27" s="15"/>
      <c r="KV27" s="15"/>
      <c r="KW27" s="15"/>
      <c r="KX27" s="15"/>
      <c r="KY27" s="15"/>
      <c r="KZ27" s="15"/>
      <c r="LA27" s="15"/>
      <c r="LB27" s="61">
        <f t="shared" si="92"/>
        <v>0</v>
      </c>
      <c r="LC27" s="66">
        <f t="shared" si="93"/>
        <v>0</v>
      </c>
      <c r="LD27" s="12">
        <f t="shared" si="94"/>
        <v>0</v>
      </c>
      <c r="LE27" s="12">
        <f t="shared" si="95"/>
        <v>0</v>
      </c>
      <c r="LF27" s="12">
        <f t="shared" si="96"/>
        <v>0</v>
      </c>
      <c r="LG27" s="12">
        <f t="shared" si="97"/>
        <v>0</v>
      </c>
      <c r="LH27" s="12">
        <f t="shared" si="98"/>
        <v>0</v>
      </c>
      <c r="LI27" s="12">
        <f t="shared" si="99"/>
        <v>0</v>
      </c>
      <c r="LJ27" s="16">
        <f t="shared" si="100"/>
        <v>0</v>
      </c>
      <c r="LK27" s="59">
        <f t="shared" si="101"/>
        <v>0</v>
      </c>
      <c r="LL27" s="69"/>
      <c r="LM27" s="68"/>
      <c r="LN27" s="15"/>
      <c r="LO27" s="15"/>
      <c r="LP27" s="15"/>
      <c r="LQ27" s="15"/>
      <c r="LR27" s="15"/>
      <c r="LS27" s="15"/>
      <c r="LT27" s="15"/>
      <c r="LU27" s="61">
        <f t="shared" si="102"/>
        <v>0</v>
      </c>
      <c r="LV27" s="66">
        <f t="shared" si="103"/>
        <v>0</v>
      </c>
      <c r="LW27" s="12">
        <f t="shared" si="104"/>
        <v>0</v>
      </c>
      <c r="LX27" s="12">
        <f t="shared" si="105"/>
        <v>0</v>
      </c>
      <c r="LY27" s="12">
        <f t="shared" si="106"/>
        <v>0</v>
      </c>
      <c r="LZ27" s="12">
        <f t="shared" si="107"/>
        <v>0</v>
      </c>
      <c r="MA27" s="12">
        <f t="shared" si="108"/>
        <v>0</v>
      </c>
      <c r="MB27" s="16">
        <f t="shared" si="109"/>
        <v>0</v>
      </c>
      <c r="MC27" s="59">
        <f t="shared" si="110"/>
        <v>0</v>
      </c>
      <c r="MD27" s="69"/>
      <c r="ME27" s="68"/>
      <c r="MF27" s="15"/>
      <c r="MG27" s="15"/>
      <c r="MH27" s="15"/>
      <c r="MI27" s="15"/>
      <c r="MJ27" s="15"/>
      <c r="MK27" s="15"/>
      <c r="ML27" s="15"/>
      <c r="MM27" s="61">
        <f t="shared" si="111"/>
        <v>0</v>
      </c>
      <c r="MN27" s="66">
        <f t="shared" si="112"/>
        <v>0</v>
      </c>
      <c r="MO27" s="12">
        <f t="shared" si="113"/>
        <v>0</v>
      </c>
      <c r="MP27" s="12">
        <f t="shared" si="114"/>
        <v>0</v>
      </c>
      <c r="MQ27" s="12">
        <f t="shared" si="115"/>
        <v>0</v>
      </c>
      <c r="MR27" s="12">
        <f t="shared" si="116"/>
        <v>0</v>
      </c>
      <c r="MS27" s="12">
        <f t="shared" si="116"/>
        <v>0</v>
      </c>
      <c r="MT27" s="16">
        <f t="shared" si="117"/>
        <v>0</v>
      </c>
      <c r="MU27" s="59">
        <f t="shared" si="189"/>
        <v>0</v>
      </c>
      <c r="MV27" s="620"/>
      <c r="MW27" s="619"/>
      <c r="MX27" s="15"/>
      <c r="MY27" s="15"/>
      <c r="MZ27" s="15"/>
      <c r="NA27" s="15"/>
      <c r="NB27" s="15"/>
      <c r="NC27" s="15"/>
      <c r="ND27" s="15"/>
      <c r="NE27" s="61">
        <f t="shared" si="118"/>
        <v>0</v>
      </c>
      <c r="NF27" s="66">
        <f t="shared" si="119"/>
        <v>0</v>
      </c>
      <c r="NG27" s="12">
        <f t="shared" si="120"/>
        <v>0</v>
      </c>
      <c r="NH27" s="12">
        <f t="shared" si="121"/>
        <v>0</v>
      </c>
      <c r="NI27" s="12">
        <f t="shared" si="122"/>
        <v>0</v>
      </c>
      <c r="NJ27" s="12">
        <f t="shared" si="123"/>
        <v>0</v>
      </c>
      <c r="NK27" s="12">
        <f t="shared" si="123"/>
        <v>0</v>
      </c>
      <c r="NL27" s="16">
        <f t="shared" si="124"/>
        <v>0</v>
      </c>
      <c r="NM27" s="59">
        <f t="shared" si="125"/>
        <v>0</v>
      </c>
      <c r="NN27" s="620"/>
      <c r="NO27" s="619"/>
      <c r="NP27" s="15"/>
      <c r="NQ27" s="15"/>
      <c r="NR27" s="15"/>
      <c r="NS27" s="15"/>
      <c r="NT27" s="15"/>
      <c r="NU27" s="61">
        <f t="shared" si="126"/>
        <v>0</v>
      </c>
      <c r="NV27" s="66">
        <f t="shared" si="190"/>
        <v>0</v>
      </c>
      <c r="NW27" s="12">
        <f t="shared" si="209"/>
        <v>0</v>
      </c>
      <c r="NX27" s="12">
        <f t="shared" si="210"/>
        <v>0</v>
      </c>
      <c r="NY27" s="12">
        <f t="shared" si="211"/>
        <v>0</v>
      </c>
      <c r="NZ27" s="16">
        <f t="shared" si="212"/>
        <v>0</v>
      </c>
      <c r="OA27" s="59">
        <f t="shared" si="131"/>
        <v>0</v>
      </c>
      <c r="OB27" s="134"/>
      <c r="OC27" s="133"/>
      <c r="OD27" s="15"/>
      <c r="OE27" s="15"/>
      <c r="OF27" s="15"/>
      <c r="OG27" s="15"/>
      <c r="OH27" s="15"/>
      <c r="OI27" s="61">
        <f t="shared" si="163"/>
        <v>0</v>
      </c>
      <c r="OJ27" s="66">
        <f t="shared" si="132"/>
        <v>0</v>
      </c>
      <c r="OK27" s="12">
        <f t="shared" si="133"/>
        <v>0</v>
      </c>
      <c r="OL27" s="12">
        <f t="shared" si="134"/>
        <v>0</v>
      </c>
      <c r="OM27" s="12">
        <f t="shared" si="135"/>
        <v>0</v>
      </c>
      <c r="ON27" s="16">
        <f t="shared" si="136"/>
        <v>0</v>
      </c>
      <c r="OO27" s="59">
        <f t="shared" si="137"/>
        <v>0</v>
      </c>
      <c r="OP27" s="134"/>
      <c r="OQ27" s="133"/>
      <c r="OR27" s="15"/>
      <c r="OS27" s="15"/>
      <c r="OT27" s="15"/>
      <c r="OU27" s="15"/>
      <c r="OV27" s="15"/>
      <c r="OW27" s="61">
        <f t="shared" si="138"/>
        <v>0</v>
      </c>
      <c r="OX27" s="66">
        <f t="shared" si="139"/>
        <v>0</v>
      </c>
      <c r="OY27" s="12">
        <f t="shared" si="140"/>
        <v>0</v>
      </c>
      <c r="OZ27" s="12">
        <f t="shared" si="141"/>
        <v>0</v>
      </c>
      <c r="PA27" s="12">
        <f t="shared" si="142"/>
        <v>0</v>
      </c>
      <c r="PB27" s="16">
        <f t="shared" si="143"/>
        <v>0</v>
      </c>
      <c r="PC27" s="59">
        <f t="shared" si="144"/>
        <v>0</v>
      </c>
      <c r="PD27" s="134"/>
      <c r="PE27" s="133"/>
      <c r="PF27" s="15"/>
      <c r="PG27" s="15"/>
      <c r="PH27" s="15"/>
      <c r="PI27" s="15"/>
      <c r="PJ27" s="15"/>
      <c r="PK27" s="61">
        <f t="shared" si="145"/>
        <v>0</v>
      </c>
      <c r="PL27" s="66">
        <f t="shared" si="174"/>
        <v>0</v>
      </c>
      <c r="PM27" s="12">
        <f t="shared" si="175"/>
        <v>0</v>
      </c>
      <c r="PN27" s="12">
        <f t="shared" si="176"/>
        <v>0</v>
      </c>
      <c r="PO27" s="12">
        <f t="shared" si="177"/>
        <v>0</v>
      </c>
      <c r="PP27" s="16">
        <f t="shared" si="178"/>
        <v>0</v>
      </c>
      <c r="PQ27" s="59">
        <f t="shared" si="150"/>
        <v>0</v>
      </c>
      <c r="PS27" s="884">
        <f t="shared" si="151"/>
        <v>0</v>
      </c>
    </row>
    <row r="28" spans="2:435" x14ac:dyDescent="0.2">
      <c r="B28" s="24">
        <v>20</v>
      </c>
      <c r="C28" s="25" t="s">
        <v>8</v>
      </c>
      <c r="D28" s="26">
        <v>25000</v>
      </c>
      <c r="E28" s="42">
        <v>1</v>
      </c>
      <c r="F28" s="31"/>
      <c r="G28" s="12"/>
      <c r="H28" s="12"/>
      <c r="I28" s="12"/>
      <c r="J28" s="12">
        <v>0.5</v>
      </c>
      <c r="K28" s="12">
        <v>0.25</v>
      </c>
      <c r="L28" s="15">
        <v>0.25</v>
      </c>
      <c r="M28" s="61">
        <f t="shared" si="41"/>
        <v>0</v>
      </c>
      <c r="N28" s="31">
        <f t="shared" si="0"/>
        <v>0</v>
      </c>
      <c r="O28" s="12">
        <f t="shared" si="0"/>
        <v>0</v>
      </c>
      <c r="P28" s="12">
        <f t="shared" si="0"/>
        <v>0</v>
      </c>
      <c r="Q28" s="12">
        <f t="shared" si="0"/>
        <v>0</v>
      </c>
      <c r="R28" s="12">
        <f t="shared" si="0"/>
        <v>12500</v>
      </c>
      <c r="S28" s="12">
        <f t="shared" si="0"/>
        <v>6250</v>
      </c>
      <c r="T28" s="15">
        <f t="shared" si="0"/>
        <v>6250</v>
      </c>
      <c r="U28" s="59">
        <f t="shared" si="191"/>
        <v>0</v>
      </c>
      <c r="V28" s="26">
        <v>25000</v>
      </c>
      <c r="W28" s="42">
        <v>1</v>
      </c>
      <c r="X28" s="31"/>
      <c r="Y28" s="12"/>
      <c r="Z28" s="12"/>
      <c r="AA28" s="12"/>
      <c r="AB28" s="12"/>
      <c r="AC28" s="12"/>
      <c r="AD28" s="15"/>
      <c r="AE28" s="15">
        <v>1</v>
      </c>
      <c r="AF28" s="61">
        <f t="shared" si="42"/>
        <v>0</v>
      </c>
      <c r="AG28" s="35">
        <f t="shared" si="43"/>
        <v>0</v>
      </c>
      <c r="AH28" s="35">
        <f t="shared" si="1"/>
        <v>0</v>
      </c>
      <c r="AI28" s="35">
        <f t="shared" si="1"/>
        <v>0</v>
      </c>
      <c r="AJ28" s="35">
        <f t="shared" si="1"/>
        <v>0</v>
      </c>
      <c r="AK28" s="35">
        <f t="shared" si="1"/>
        <v>0</v>
      </c>
      <c r="AL28" s="35">
        <f t="shared" si="1"/>
        <v>0</v>
      </c>
      <c r="AM28" s="35">
        <f t="shared" si="1"/>
        <v>0</v>
      </c>
      <c r="AN28" s="35">
        <f t="shared" si="1"/>
        <v>25000</v>
      </c>
      <c r="AO28" s="62">
        <f t="shared" si="44"/>
        <v>0</v>
      </c>
      <c r="AP28" s="26">
        <v>25000</v>
      </c>
      <c r="AQ28" s="42">
        <v>1</v>
      </c>
      <c r="AR28" s="12"/>
      <c r="AS28" s="12"/>
      <c r="AT28" s="12"/>
      <c r="AU28" s="12"/>
      <c r="AV28" s="15"/>
      <c r="AW28" s="15">
        <v>1</v>
      </c>
      <c r="AX28" s="61">
        <f t="shared" si="45"/>
        <v>0</v>
      </c>
      <c r="AY28" s="35">
        <f t="shared" si="2"/>
        <v>0</v>
      </c>
      <c r="AZ28" s="35">
        <f t="shared" si="2"/>
        <v>0</v>
      </c>
      <c r="BA28" s="35">
        <f t="shared" si="2"/>
        <v>0</v>
      </c>
      <c r="BB28" s="35">
        <f t="shared" si="2"/>
        <v>0</v>
      </c>
      <c r="BC28" s="35">
        <f t="shared" si="2"/>
        <v>0</v>
      </c>
      <c r="BD28" s="34">
        <f t="shared" si="2"/>
        <v>25000</v>
      </c>
      <c r="BE28" s="59">
        <f t="shared" si="46"/>
        <v>0</v>
      </c>
      <c r="BF28" s="26">
        <v>25000</v>
      </c>
      <c r="BG28" s="42">
        <v>1</v>
      </c>
      <c r="BH28" s="12"/>
      <c r="BI28" s="12"/>
      <c r="BJ28" s="12"/>
      <c r="BK28" s="12"/>
      <c r="BL28" s="15"/>
      <c r="BM28" s="15"/>
      <c r="BN28" s="15">
        <v>1</v>
      </c>
      <c r="BO28" s="61">
        <f t="shared" si="3"/>
        <v>0</v>
      </c>
      <c r="BP28" s="65">
        <f t="shared" si="4"/>
        <v>0</v>
      </c>
      <c r="BQ28" s="33">
        <f t="shared" si="4"/>
        <v>0</v>
      </c>
      <c r="BR28" s="33">
        <f t="shared" si="4"/>
        <v>0</v>
      </c>
      <c r="BS28" s="33">
        <f t="shared" si="4"/>
        <v>0</v>
      </c>
      <c r="BT28" s="33">
        <f t="shared" si="4"/>
        <v>0</v>
      </c>
      <c r="BU28" s="33">
        <f t="shared" si="4"/>
        <v>0</v>
      </c>
      <c r="BV28" s="34">
        <f t="shared" si="4"/>
        <v>25000</v>
      </c>
      <c r="BW28" s="59">
        <f t="shared" si="192"/>
        <v>0</v>
      </c>
      <c r="BX28" s="69">
        <v>25000</v>
      </c>
      <c r="BY28" s="68">
        <v>1</v>
      </c>
      <c r="BZ28" s="31"/>
      <c r="CA28" s="12"/>
      <c r="CB28" s="12"/>
      <c r="CC28" s="12"/>
      <c r="CD28" s="15"/>
      <c r="CE28" s="15"/>
      <c r="CF28" s="15">
        <v>1</v>
      </c>
      <c r="CG28" s="61">
        <f t="shared" si="5"/>
        <v>0</v>
      </c>
      <c r="CH28" s="66">
        <f t="shared" si="47"/>
        <v>0</v>
      </c>
      <c r="CI28" s="12">
        <f t="shared" si="6"/>
        <v>0</v>
      </c>
      <c r="CJ28" s="12">
        <f t="shared" si="6"/>
        <v>0</v>
      </c>
      <c r="CK28" s="12">
        <f t="shared" si="6"/>
        <v>0</v>
      </c>
      <c r="CL28" s="12">
        <f t="shared" si="6"/>
        <v>0</v>
      </c>
      <c r="CM28" s="12">
        <f t="shared" si="6"/>
        <v>0</v>
      </c>
      <c r="CN28" s="16">
        <f t="shared" si="6"/>
        <v>25000</v>
      </c>
      <c r="CO28" s="59">
        <f t="shared" si="193"/>
        <v>0</v>
      </c>
      <c r="CP28" s="69">
        <v>25000</v>
      </c>
      <c r="CQ28" s="68">
        <v>1</v>
      </c>
      <c r="CR28" s="12"/>
      <c r="CS28" s="12"/>
      <c r="CT28" s="12"/>
      <c r="CU28" s="12"/>
      <c r="CV28" s="15"/>
      <c r="CW28" s="15"/>
      <c r="CX28" s="15">
        <v>1</v>
      </c>
      <c r="CY28" s="61">
        <f t="shared" si="7"/>
        <v>0</v>
      </c>
      <c r="CZ28" s="66">
        <f t="shared" si="194"/>
        <v>0</v>
      </c>
      <c r="DA28" s="12">
        <f t="shared" si="8"/>
        <v>0</v>
      </c>
      <c r="DB28" s="12">
        <f t="shared" si="8"/>
        <v>0</v>
      </c>
      <c r="DC28" s="12">
        <f t="shared" si="8"/>
        <v>0</v>
      </c>
      <c r="DD28" s="12">
        <f t="shared" si="8"/>
        <v>0</v>
      </c>
      <c r="DE28" s="12">
        <f t="shared" si="8"/>
        <v>0</v>
      </c>
      <c r="DF28" s="16">
        <f t="shared" si="8"/>
        <v>25000</v>
      </c>
      <c r="DG28" s="59">
        <f t="shared" si="195"/>
        <v>0</v>
      </c>
      <c r="DH28" s="69">
        <v>25000</v>
      </c>
      <c r="DI28" s="68">
        <v>1</v>
      </c>
      <c r="DJ28" s="12"/>
      <c r="DK28" s="12"/>
      <c r="DL28" s="12"/>
      <c r="DM28" s="12"/>
      <c r="DN28" s="15"/>
      <c r="DO28" s="15"/>
      <c r="DP28" s="15">
        <v>1</v>
      </c>
      <c r="DQ28" s="61">
        <f t="shared" si="9"/>
        <v>0</v>
      </c>
      <c r="DR28" s="66">
        <f t="shared" si="48"/>
        <v>0</v>
      </c>
      <c r="DS28" s="12">
        <f t="shared" si="10"/>
        <v>0</v>
      </c>
      <c r="DT28" s="12">
        <f t="shared" si="10"/>
        <v>0</v>
      </c>
      <c r="DU28" s="12">
        <f t="shared" si="10"/>
        <v>0</v>
      </c>
      <c r="DV28" s="12">
        <f t="shared" si="10"/>
        <v>0</v>
      </c>
      <c r="DW28" s="12">
        <f t="shared" si="10"/>
        <v>0</v>
      </c>
      <c r="DX28" s="16">
        <f t="shared" si="10"/>
        <v>25000</v>
      </c>
      <c r="DY28" s="59">
        <f t="shared" si="196"/>
        <v>0</v>
      </c>
      <c r="DZ28" s="69">
        <f>16304.35+8465.6</f>
        <v>24769.95</v>
      </c>
      <c r="EA28" s="68">
        <v>1</v>
      </c>
      <c r="EB28" s="12"/>
      <c r="EC28" s="12"/>
      <c r="ED28" s="12"/>
      <c r="EE28" s="15"/>
      <c r="EF28" s="15">
        <v>0.5</v>
      </c>
      <c r="EG28" s="15">
        <v>0.5</v>
      </c>
      <c r="EH28" s="61">
        <f t="shared" si="197"/>
        <v>0</v>
      </c>
      <c r="EI28" s="66">
        <f t="shared" si="11"/>
        <v>0</v>
      </c>
      <c r="EJ28" s="12">
        <f t="shared" si="11"/>
        <v>0</v>
      </c>
      <c r="EK28" s="12">
        <f t="shared" si="11"/>
        <v>0</v>
      </c>
      <c r="EL28" s="12">
        <f t="shared" si="11"/>
        <v>0</v>
      </c>
      <c r="EM28" s="12">
        <f t="shared" si="11"/>
        <v>12384.98</v>
      </c>
      <c r="EN28" s="16">
        <f t="shared" si="11"/>
        <v>12384.98</v>
      </c>
      <c r="EO28" s="59">
        <f t="shared" si="198"/>
        <v>-0.01</v>
      </c>
      <c r="EP28" s="69">
        <f>17045.45+9312.16</f>
        <v>26357.61</v>
      </c>
      <c r="EQ28" s="68">
        <v>1</v>
      </c>
      <c r="ER28" s="12"/>
      <c r="ES28" s="12"/>
      <c r="ET28" s="15">
        <v>1</v>
      </c>
      <c r="EU28" s="15"/>
      <c r="EV28" s="61">
        <f t="shared" si="199"/>
        <v>0</v>
      </c>
      <c r="EW28" s="66">
        <f t="shared" si="49"/>
        <v>0</v>
      </c>
      <c r="EX28" s="12">
        <f t="shared" si="49"/>
        <v>0</v>
      </c>
      <c r="EY28" s="12">
        <f t="shared" si="49"/>
        <v>26357.61</v>
      </c>
      <c r="EZ28" s="16">
        <f t="shared" si="49"/>
        <v>0</v>
      </c>
      <c r="FA28" s="59">
        <f t="shared" si="200"/>
        <v>0</v>
      </c>
      <c r="FB28" s="69">
        <v>25000</v>
      </c>
      <c r="FC28" s="68">
        <v>1</v>
      </c>
      <c r="FD28" s="12"/>
      <c r="FE28" s="15">
        <v>1</v>
      </c>
      <c r="FF28" s="15"/>
      <c r="FG28" s="61">
        <f t="shared" si="201"/>
        <v>0</v>
      </c>
      <c r="FH28" s="66">
        <f t="shared" si="50"/>
        <v>0</v>
      </c>
      <c r="FI28" s="12">
        <f t="shared" si="50"/>
        <v>25000</v>
      </c>
      <c r="FJ28" s="16">
        <f t="shared" si="50"/>
        <v>0</v>
      </c>
      <c r="FK28" s="59">
        <f t="shared" si="202"/>
        <v>0</v>
      </c>
      <c r="FL28" s="69">
        <v>25000</v>
      </c>
      <c r="FM28" s="68">
        <v>1</v>
      </c>
      <c r="FN28" s="12"/>
      <c r="FO28" s="15">
        <v>1</v>
      </c>
      <c r="FP28" s="15"/>
      <c r="FQ28" s="15"/>
      <c r="FR28" s="15"/>
      <c r="FS28" s="61">
        <f t="shared" si="203"/>
        <v>0</v>
      </c>
      <c r="FT28" s="66">
        <f t="shared" si="204"/>
        <v>0</v>
      </c>
      <c r="FU28" s="12">
        <f t="shared" si="205"/>
        <v>25000</v>
      </c>
      <c r="FV28" s="12">
        <f t="shared" si="206"/>
        <v>0</v>
      </c>
      <c r="FW28" s="12">
        <f t="shared" si="207"/>
        <v>0</v>
      </c>
      <c r="FX28" s="16">
        <f t="shared" si="51"/>
        <v>0</v>
      </c>
      <c r="FY28" s="59">
        <f t="shared" si="52"/>
        <v>0</v>
      </c>
      <c r="FZ28" s="69">
        <v>25000</v>
      </c>
      <c r="GA28" s="68">
        <v>1</v>
      </c>
      <c r="GB28" s="12"/>
      <c r="GC28" s="15">
        <v>1</v>
      </c>
      <c r="GD28" s="15"/>
      <c r="GE28" s="15"/>
      <c r="GF28" s="61">
        <f t="shared" si="208"/>
        <v>0</v>
      </c>
      <c r="GG28" s="66">
        <f t="shared" si="53"/>
        <v>0</v>
      </c>
      <c r="GH28" s="66">
        <f t="shared" si="12"/>
        <v>0</v>
      </c>
      <c r="GI28" s="12">
        <f t="shared" si="13"/>
        <v>25000</v>
      </c>
      <c r="GJ28" s="12">
        <f t="shared" si="179"/>
        <v>25000</v>
      </c>
      <c r="GK28" s="31">
        <f t="shared" si="14"/>
        <v>0</v>
      </c>
      <c r="GL28" s="123">
        <f t="shared" si="15"/>
        <v>0</v>
      </c>
      <c r="GM28" s="410">
        <f t="shared" si="16"/>
        <v>0</v>
      </c>
      <c r="GN28" s="414">
        <v>25000</v>
      </c>
      <c r="GO28" s="68">
        <v>1</v>
      </c>
      <c r="GP28" s="12"/>
      <c r="GQ28" s="15">
        <v>1</v>
      </c>
      <c r="GR28" s="15"/>
      <c r="GS28" s="15"/>
      <c r="GT28" s="15"/>
      <c r="GU28" s="61">
        <f t="shared" si="54"/>
        <v>0</v>
      </c>
      <c r="GV28" s="66">
        <f t="shared" si="17"/>
        <v>0</v>
      </c>
      <c r="GW28" s="12">
        <f t="shared" si="18"/>
        <v>25000</v>
      </c>
      <c r="GX28" s="12">
        <f t="shared" si="19"/>
        <v>0</v>
      </c>
      <c r="GY28" s="12">
        <f t="shared" si="20"/>
        <v>0</v>
      </c>
      <c r="GZ28" s="16">
        <f t="shared" si="21"/>
        <v>0</v>
      </c>
      <c r="HA28" s="59">
        <f t="shared" si="55"/>
        <v>0</v>
      </c>
      <c r="HB28" s="69">
        <v>50000</v>
      </c>
      <c r="HC28" s="68">
        <v>1</v>
      </c>
      <c r="HD28" s="12"/>
      <c r="HE28" s="15">
        <v>1</v>
      </c>
      <c r="HF28" s="15"/>
      <c r="HG28" s="15"/>
      <c r="HH28" s="15"/>
      <c r="HI28" s="15"/>
      <c r="HJ28" s="15"/>
      <c r="HK28" s="15"/>
      <c r="HL28" s="61">
        <f t="shared" si="56"/>
        <v>0</v>
      </c>
      <c r="HM28" s="66">
        <f t="shared" si="22"/>
        <v>0</v>
      </c>
      <c r="HN28" s="12">
        <f t="shared" si="23"/>
        <v>50000</v>
      </c>
      <c r="HO28" s="12">
        <f t="shared" si="24"/>
        <v>0</v>
      </c>
      <c r="HP28" s="12">
        <f t="shared" si="25"/>
        <v>0</v>
      </c>
      <c r="HQ28" s="12">
        <f t="shared" si="26"/>
        <v>0</v>
      </c>
      <c r="HR28" s="12">
        <f t="shared" si="27"/>
        <v>0</v>
      </c>
      <c r="HS28" s="12">
        <f t="shared" si="28"/>
        <v>0</v>
      </c>
      <c r="HT28" s="16">
        <f t="shared" si="29"/>
        <v>0</v>
      </c>
      <c r="HU28" s="59">
        <f t="shared" si="57"/>
        <v>0</v>
      </c>
      <c r="HV28" s="69">
        <v>25000</v>
      </c>
      <c r="HW28" s="68">
        <v>1</v>
      </c>
      <c r="HX28" s="12"/>
      <c r="HY28" s="15"/>
      <c r="HZ28" s="61">
        <f t="shared" si="58"/>
        <v>1</v>
      </c>
      <c r="IA28" s="66">
        <f t="shared" si="59"/>
        <v>0</v>
      </c>
      <c r="IB28" s="16">
        <f t="shared" si="59"/>
        <v>0</v>
      </c>
      <c r="IC28" s="59">
        <f t="shared" si="60"/>
        <v>25000</v>
      </c>
      <c r="ID28" s="69">
        <v>50000</v>
      </c>
      <c r="IE28" s="68">
        <v>1</v>
      </c>
      <c r="IF28" s="12"/>
      <c r="IG28" s="15">
        <v>1</v>
      </c>
      <c r="IH28" s="15"/>
      <c r="II28" s="15"/>
      <c r="IJ28" s="15"/>
      <c r="IK28" s="15"/>
      <c r="IL28" s="15"/>
      <c r="IM28" s="15"/>
      <c r="IN28" s="15"/>
      <c r="IO28" s="61">
        <f t="shared" si="61"/>
        <v>0</v>
      </c>
      <c r="IP28" s="66">
        <f t="shared" si="62"/>
        <v>0</v>
      </c>
      <c r="IQ28" s="12">
        <f t="shared" si="63"/>
        <v>50000</v>
      </c>
      <c r="IR28" s="12">
        <f t="shared" si="64"/>
        <v>0</v>
      </c>
      <c r="IS28" s="12">
        <f t="shared" si="65"/>
        <v>0</v>
      </c>
      <c r="IT28" s="12">
        <f t="shared" si="66"/>
        <v>0</v>
      </c>
      <c r="IU28" s="12">
        <f t="shared" si="67"/>
        <v>0</v>
      </c>
      <c r="IV28" s="12">
        <f t="shared" si="68"/>
        <v>0</v>
      </c>
      <c r="IW28" s="15">
        <f t="shared" si="69"/>
        <v>0</v>
      </c>
      <c r="IX28" s="16">
        <f t="shared" si="69"/>
        <v>0</v>
      </c>
      <c r="IY28" s="59">
        <f t="shared" si="70"/>
        <v>0</v>
      </c>
      <c r="IZ28" s="69">
        <v>50000</v>
      </c>
      <c r="JA28" s="68">
        <v>1</v>
      </c>
      <c r="JB28" s="12"/>
      <c r="JC28" s="15">
        <v>1</v>
      </c>
      <c r="JD28" s="15"/>
      <c r="JE28" s="15"/>
      <c r="JF28" s="15"/>
      <c r="JG28" s="15"/>
      <c r="JH28" s="15"/>
      <c r="JI28" s="15"/>
      <c r="JJ28" s="15"/>
      <c r="JK28" s="61">
        <f t="shared" si="71"/>
        <v>0</v>
      </c>
      <c r="JL28" s="66">
        <f t="shared" si="72"/>
        <v>0</v>
      </c>
      <c r="JM28" s="12">
        <f t="shared" si="73"/>
        <v>50000</v>
      </c>
      <c r="JN28" s="12">
        <f t="shared" si="74"/>
        <v>0</v>
      </c>
      <c r="JO28" s="12">
        <f t="shared" si="75"/>
        <v>0</v>
      </c>
      <c r="JP28" s="12">
        <f t="shared" si="76"/>
        <v>0</v>
      </c>
      <c r="JQ28" s="12">
        <f t="shared" si="77"/>
        <v>0</v>
      </c>
      <c r="JR28" s="12">
        <f t="shared" si="78"/>
        <v>0</v>
      </c>
      <c r="JS28" s="12">
        <f t="shared" si="79"/>
        <v>0</v>
      </c>
      <c r="JT28" s="16">
        <f t="shared" si="80"/>
        <v>0</v>
      </c>
      <c r="JU28" s="59">
        <f t="shared" si="81"/>
        <v>0</v>
      </c>
      <c r="JV28" s="69">
        <v>50000</v>
      </c>
      <c r="JW28" s="68">
        <v>1</v>
      </c>
      <c r="JX28" s="12"/>
      <c r="JY28" s="12"/>
      <c r="JZ28" s="15"/>
      <c r="KA28" s="15"/>
      <c r="KB28" s="15">
        <v>0.65</v>
      </c>
      <c r="KC28" s="15"/>
      <c r="KD28" s="15"/>
      <c r="KE28" s="15"/>
      <c r="KF28" s="15">
        <v>0.35</v>
      </c>
      <c r="KG28" s="61">
        <f t="shared" si="82"/>
        <v>0</v>
      </c>
      <c r="KH28" s="146">
        <f t="shared" si="83"/>
        <v>0</v>
      </c>
      <c r="KI28" s="12">
        <f t="shared" si="83"/>
        <v>0</v>
      </c>
      <c r="KJ28" s="12">
        <f t="shared" si="84"/>
        <v>0</v>
      </c>
      <c r="KK28" s="12">
        <f t="shared" si="85"/>
        <v>0</v>
      </c>
      <c r="KL28" s="12">
        <f t="shared" si="86"/>
        <v>32500</v>
      </c>
      <c r="KM28" s="12">
        <f t="shared" si="87"/>
        <v>0</v>
      </c>
      <c r="KN28" s="12">
        <f t="shared" si="88"/>
        <v>0</v>
      </c>
      <c r="KO28" s="12">
        <f t="shared" si="89"/>
        <v>0</v>
      </c>
      <c r="KP28" s="16">
        <f t="shared" si="90"/>
        <v>17500</v>
      </c>
      <c r="KQ28" s="59">
        <f t="shared" si="91"/>
        <v>0</v>
      </c>
      <c r="KR28" s="69">
        <v>72175.210000000006</v>
      </c>
      <c r="KS28" s="68">
        <v>1</v>
      </c>
      <c r="KT28" s="12"/>
      <c r="KU28" s="15"/>
      <c r="KV28" s="15">
        <v>0.5</v>
      </c>
      <c r="KW28" s="15">
        <v>0.25</v>
      </c>
      <c r="KX28" s="15"/>
      <c r="KY28" s="15"/>
      <c r="KZ28" s="15"/>
      <c r="LA28" s="15">
        <v>0.25</v>
      </c>
      <c r="LB28" s="61">
        <f t="shared" si="92"/>
        <v>0</v>
      </c>
      <c r="LC28" s="66">
        <f t="shared" si="93"/>
        <v>0</v>
      </c>
      <c r="LD28" s="12">
        <f t="shared" si="94"/>
        <v>0</v>
      </c>
      <c r="LE28" s="12">
        <f t="shared" si="95"/>
        <v>36087.61</v>
      </c>
      <c r="LF28" s="12">
        <f t="shared" si="96"/>
        <v>18043.8</v>
      </c>
      <c r="LG28" s="12">
        <f t="shared" si="97"/>
        <v>0</v>
      </c>
      <c r="LH28" s="12">
        <f t="shared" si="98"/>
        <v>0</v>
      </c>
      <c r="LI28" s="12">
        <f t="shared" si="99"/>
        <v>0</v>
      </c>
      <c r="LJ28" s="16">
        <f t="shared" si="100"/>
        <v>18043.8</v>
      </c>
      <c r="LK28" s="59">
        <f t="shared" si="101"/>
        <v>0</v>
      </c>
      <c r="LL28" s="69">
        <v>18181.82</v>
      </c>
      <c r="LM28" s="68">
        <v>1</v>
      </c>
      <c r="LN28" s="15">
        <v>0.75</v>
      </c>
      <c r="LO28" s="15"/>
      <c r="LP28" s="15">
        <v>0.1</v>
      </c>
      <c r="LQ28" s="15"/>
      <c r="LR28" s="15"/>
      <c r="LS28" s="15"/>
      <c r="LT28" s="15">
        <v>0.15</v>
      </c>
      <c r="LU28" s="61">
        <f t="shared" si="102"/>
        <v>0</v>
      </c>
      <c r="LV28" s="66">
        <f t="shared" si="103"/>
        <v>13636.37</v>
      </c>
      <c r="LW28" s="12">
        <f t="shared" si="104"/>
        <v>0</v>
      </c>
      <c r="LX28" s="12">
        <f t="shared" si="105"/>
        <v>1818.18</v>
      </c>
      <c r="LY28" s="12">
        <f t="shared" si="106"/>
        <v>0</v>
      </c>
      <c r="LZ28" s="12">
        <f t="shared" si="107"/>
        <v>0</v>
      </c>
      <c r="MA28" s="12">
        <f t="shared" si="108"/>
        <v>0</v>
      </c>
      <c r="MB28" s="16">
        <f t="shared" si="109"/>
        <v>2727.27</v>
      </c>
      <c r="MC28" s="59">
        <f t="shared" si="110"/>
        <v>0</v>
      </c>
      <c r="MD28" s="69">
        <v>49639.87</v>
      </c>
      <c r="ME28" s="68">
        <v>1</v>
      </c>
      <c r="MF28" s="15"/>
      <c r="MG28" s="15">
        <v>0.5</v>
      </c>
      <c r="MH28" s="15"/>
      <c r="MI28" s="15"/>
      <c r="MJ28" s="15">
        <v>0.15</v>
      </c>
      <c r="MK28" s="15"/>
      <c r="ML28" s="15">
        <v>0.35</v>
      </c>
      <c r="MM28" s="61">
        <f t="shared" si="111"/>
        <v>0</v>
      </c>
      <c r="MN28" s="66">
        <f t="shared" si="112"/>
        <v>0</v>
      </c>
      <c r="MO28" s="12">
        <f t="shared" si="113"/>
        <v>24819.94</v>
      </c>
      <c r="MP28" s="12">
        <f t="shared" si="114"/>
        <v>0</v>
      </c>
      <c r="MQ28" s="12">
        <f t="shared" si="115"/>
        <v>0</v>
      </c>
      <c r="MR28" s="12">
        <f t="shared" si="116"/>
        <v>7445.98</v>
      </c>
      <c r="MS28" s="12">
        <f t="shared" si="116"/>
        <v>0</v>
      </c>
      <c r="MT28" s="16">
        <f t="shared" si="117"/>
        <v>17373.95</v>
      </c>
      <c r="MU28" s="59">
        <f t="shared" si="189"/>
        <v>0</v>
      </c>
      <c r="MV28" s="620">
        <v>50000</v>
      </c>
      <c r="MW28" s="619">
        <v>1</v>
      </c>
      <c r="MX28" s="15"/>
      <c r="MY28" s="15">
        <v>0.5</v>
      </c>
      <c r="MZ28" s="15"/>
      <c r="NA28" s="15"/>
      <c r="NB28" s="15"/>
      <c r="NC28" s="15"/>
      <c r="ND28" s="15">
        <v>0.5</v>
      </c>
      <c r="NE28" s="61">
        <f t="shared" si="118"/>
        <v>0</v>
      </c>
      <c r="NF28" s="66">
        <f t="shared" si="119"/>
        <v>0</v>
      </c>
      <c r="NG28" s="12">
        <f t="shared" si="120"/>
        <v>25000</v>
      </c>
      <c r="NH28" s="12">
        <f t="shared" si="121"/>
        <v>0</v>
      </c>
      <c r="NI28" s="12">
        <f t="shared" si="122"/>
        <v>0</v>
      </c>
      <c r="NJ28" s="12">
        <f t="shared" si="123"/>
        <v>0</v>
      </c>
      <c r="NK28" s="12">
        <f t="shared" si="123"/>
        <v>0</v>
      </c>
      <c r="NL28" s="16">
        <f t="shared" si="124"/>
        <v>25000</v>
      </c>
      <c r="NM28" s="59">
        <f t="shared" si="125"/>
        <v>0</v>
      </c>
      <c r="NN28" s="620">
        <v>50000</v>
      </c>
      <c r="NO28" s="619">
        <v>1</v>
      </c>
      <c r="NP28" s="15"/>
      <c r="NQ28" s="15"/>
      <c r="NR28" s="15"/>
      <c r="NS28" s="15"/>
      <c r="NT28" s="15"/>
      <c r="NU28" s="61">
        <f t="shared" si="126"/>
        <v>1</v>
      </c>
      <c r="NV28" s="66">
        <f t="shared" si="190"/>
        <v>0</v>
      </c>
      <c r="NW28" s="12">
        <f t="shared" si="209"/>
        <v>0</v>
      </c>
      <c r="NX28" s="12">
        <f t="shared" si="210"/>
        <v>0</v>
      </c>
      <c r="NY28" s="12">
        <f t="shared" si="211"/>
        <v>0</v>
      </c>
      <c r="NZ28" s="16">
        <f t="shared" si="212"/>
        <v>0</v>
      </c>
      <c r="OA28" s="59">
        <f t="shared" si="131"/>
        <v>50000</v>
      </c>
      <c r="OB28" s="134">
        <v>50000</v>
      </c>
      <c r="OC28" s="133">
        <v>1</v>
      </c>
      <c r="OD28" s="15"/>
      <c r="OE28" s="15"/>
      <c r="OF28" s="15"/>
      <c r="OG28" s="15"/>
      <c r="OH28" s="15"/>
      <c r="OI28" s="61">
        <f t="shared" si="163"/>
        <v>1</v>
      </c>
      <c r="OJ28" s="66">
        <f t="shared" si="132"/>
        <v>0</v>
      </c>
      <c r="OK28" s="12">
        <f t="shared" si="133"/>
        <v>0</v>
      </c>
      <c r="OL28" s="12">
        <f t="shared" si="134"/>
        <v>0</v>
      </c>
      <c r="OM28" s="12">
        <f t="shared" si="135"/>
        <v>0</v>
      </c>
      <c r="ON28" s="16">
        <f t="shared" si="136"/>
        <v>0</v>
      </c>
      <c r="OO28" s="59">
        <f t="shared" si="137"/>
        <v>50000</v>
      </c>
      <c r="OP28" s="134">
        <v>50000</v>
      </c>
      <c r="OQ28" s="133">
        <v>1</v>
      </c>
      <c r="OR28" s="15"/>
      <c r="OS28" s="15"/>
      <c r="OT28" s="15"/>
      <c r="OU28" s="15"/>
      <c r="OV28" s="15"/>
      <c r="OW28" s="61">
        <f t="shared" si="138"/>
        <v>1</v>
      </c>
      <c r="OX28" s="66">
        <f t="shared" si="139"/>
        <v>0</v>
      </c>
      <c r="OY28" s="12">
        <f t="shared" si="140"/>
        <v>0</v>
      </c>
      <c r="OZ28" s="12">
        <f t="shared" si="141"/>
        <v>0</v>
      </c>
      <c r="PA28" s="12">
        <f t="shared" si="142"/>
        <v>0</v>
      </c>
      <c r="PB28" s="16">
        <f t="shared" si="143"/>
        <v>0</v>
      </c>
      <c r="PC28" s="59">
        <f t="shared" si="144"/>
        <v>50000</v>
      </c>
      <c r="PD28" s="134">
        <v>50000</v>
      </c>
      <c r="PE28" s="133">
        <v>1</v>
      </c>
      <c r="PF28" s="15"/>
      <c r="PG28" s="15"/>
      <c r="PH28" s="15"/>
      <c r="PI28" s="15"/>
      <c r="PJ28" s="15"/>
      <c r="PK28" s="61">
        <f t="shared" si="145"/>
        <v>1</v>
      </c>
      <c r="PL28" s="66">
        <f t="shared" si="174"/>
        <v>0</v>
      </c>
      <c r="PM28" s="12">
        <f t="shared" si="175"/>
        <v>0</v>
      </c>
      <c r="PN28" s="12">
        <f t="shared" si="176"/>
        <v>0</v>
      </c>
      <c r="PO28" s="12">
        <f t="shared" si="177"/>
        <v>0</v>
      </c>
      <c r="PP28" s="16">
        <f t="shared" si="178"/>
        <v>0</v>
      </c>
      <c r="PQ28" s="59">
        <f t="shared" si="150"/>
        <v>50000</v>
      </c>
      <c r="PS28" s="885">
        <f t="shared" si="151"/>
        <v>1.6</v>
      </c>
    </row>
    <row r="29" spans="2:435" x14ac:dyDescent="0.2">
      <c r="B29" s="24"/>
      <c r="C29" s="138" t="s">
        <v>9</v>
      </c>
      <c r="D29" s="26">
        <v>77000</v>
      </c>
      <c r="E29" s="42">
        <v>1</v>
      </c>
      <c r="F29" s="31"/>
      <c r="G29" s="12">
        <v>0.05</v>
      </c>
      <c r="H29" s="12">
        <v>0.3</v>
      </c>
      <c r="I29" s="12"/>
      <c r="J29" s="12">
        <v>0.3</v>
      </c>
      <c r="K29" s="12">
        <v>0.15</v>
      </c>
      <c r="L29" s="15">
        <v>0.2</v>
      </c>
      <c r="M29" s="61">
        <f t="shared" si="41"/>
        <v>0</v>
      </c>
      <c r="N29" s="31">
        <f t="shared" si="0"/>
        <v>0</v>
      </c>
      <c r="O29" s="12">
        <f t="shared" si="0"/>
        <v>3850</v>
      </c>
      <c r="P29" s="12">
        <f t="shared" si="0"/>
        <v>23100</v>
      </c>
      <c r="Q29" s="12">
        <f t="shared" si="0"/>
        <v>0</v>
      </c>
      <c r="R29" s="12">
        <f t="shared" si="0"/>
        <v>23100</v>
      </c>
      <c r="S29" s="12">
        <f t="shared" si="0"/>
        <v>11550</v>
      </c>
      <c r="T29" s="15">
        <f t="shared" si="0"/>
        <v>15400</v>
      </c>
      <c r="U29" s="59">
        <f t="shared" si="191"/>
        <v>0</v>
      </c>
      <c r="V29" s="26">
        <v>82500</v>
      </c>
      <c r="W29" s="42">
        <v>1</v>
      </c>
      <c r="X29" s="31"/>
      <c r="Y29" s="12">
        <v>0.1</v>
      </c>
      <c r="Z29" s="12"/>
      <c r="AA29" s="12"/>
      <c r="AB29" s="12">
        <v>0.25</v>
      </c>
      <c r="AC29" s="12">
        <v>0.1</v>
      </c>
      <c r="AD29" s="15">
        <v>0.2</v>
      </c>
      <c r="AE29" s="15">
        <v>0.35</v>
      </c>
      <c r="AF29" s="61">
        <f t="shared" si="42"/>
        <v>0</v>
      </c>
      <c r="AG29" s="35">
        <f t="shared" si="43"/>
        <v>0</v>
      </c>
      <c r="AH29" s="35">
        <f t="shared" si="1"/>
        <v>8250</v>
      </c>
      <c r="AI29" s="35">
        <f t="shared" si="1"/>
        <v>0</v>
      </c>
      <c r="AJ29" s="35">
        <f t="shared" si="1"/>
        <v>0</v>
      </c>
      <c r="AK29" s="35">
        <f t="shared" si="1"/>
        <v>20625</v>
      </c>
      <c r="AL29" s="35">
        <f t="shared" si="1"/>
        <v>8250</v>
      </c>
      <c r="AM29" s="35">
        <f t="shared" si="1"/>
        <v>16500</v>
      </c>
      <c r="AN29" s="35">
        <f t="shared" si="1"/>
        <v>28875</v>
      </c>
      <c r="AO29" s="62">
        <f t="shared" si="44"/>
        <v>0</v>
      </c>
      <c r="AP29" s="26">
        <v>82500</v>
      </c>
      <c r="AQ29" s="42">
        <v>1</v>
      </c>
      <c r="AR29" s="12"/>
      <c r="AS29" s="12">
        <v>0.05</v>
      </c>
      <c r="AT29" s="12">
        <v>0.2</v>
      </c>
      <c r="AU29" s="12">
        <v>0.15</v>
      </c>
      <c r="AV29" s="15">
        <v>0.2</v>
      </c>
      <c r="AW29" s="15">
        <v>0.4</v>
      </c>
      <c r="AX29" s="61">
        <f t="shared" si="45"/>
        <v>0</v>
      </c>
      <c r="AY29" s="35">
        <f t="shared" si="2"/>
        <v>0</v>
      </c>
      <c r="AZ29" s="35">
        <f t="shared" si="2"/>
        <v>4125</v>
      </c>
      <c r="BA29" s="35">
        <f t="shared" si="2"/>
        <v>16500</v>
      </c>
      <c r="BB29" s="35">
        <f t="shared" si="2"/>
        <v>12375</v>
      </c>
      <c r="BC29" s="35">
        <f t="shared" si="2"/>
        <v>16500</v>
      </c>
      <c r="BD29" s="34">
        <f t="shared" si="2"/>
        <v>33000</v>
      </c>
      <c r="BE29" s="59">
        <f t="shared" si="46"/>
        <v>0</v>
      </c>
      <c r="BF29" s="26">
        <v>82500</v>
      </c>
      <c r="BG29" s="42">
        <v>1</v>
      </c>
      <c r="BH29" s="12"/>
      <c r="BI29" s="12"/>
      <c r="BJ29" s="12">
        <v>0.2</v>
      </c>
      <c r="BK29" s="12">
        <v>0.1</v>
      </c>
      <c r="BL29" s="15">
        <v>0.1</v>
      </c>
      <c r="BM29" s="15">
        <v>0.3</v>
      </c>
      <c r="BN29" s="15">
        <v>0.3</v>
      </c>
      <c r="BO29" s="61">
        <f t="shared" si="3"/>
        <v>0</v>
      </c>
      <c r="BP29" s="65">
        <f t="shared" si="4"/>
        <v>0</v>
      </c>
      <c r="BQ29" s="33">
        <f t="shared" si="4"/>
        <v>0</v>
      </c>
      <c r="BR29" s="33">
        <f t="shared" si="4"/>
        <v>16500</v>
      </c>
      <c r="BS29" s="33">
        <f t="shared" si="4"/>
        <v>8250</v>
      </c>
      <c r="BT29" s="33">
        <f t="shared" si="4"/>
        <v>8250</v>
      </c>
      <c r="BU29" s="33">
        <f t="shared" si="4"/>
        <v>24750</v>
      </c>
      <c r="BV29" s="34">
        <f t="shared" si="4"/>
        <v>24750</v>
      </c>
      <c r="BW29" s="59">
        <f t="shared" si="192"/>
        <v>0</v>
      </c>
      <c r="BX29" s="69">
        <v>53625</v>
      </c>
      <c r="BY29" s="68">
        <f>22/31</f>
        <v>0.71</v>
      </c>
      <c r="BZ29" s="31"/>
      <c r="CA29" s="12"/>
      <c r="CB29" s="12">
        <v>0.2</v>
      </c>
      <c r="CC29" s="12">
        <v>0.1</v>
      </c>
      <c r="CD29" s="15">
        <v>0.1</v>
      </c>
      <c r="CE29" s="15">
        <v>0.2</v>
      </c>
      <c r="CF29" s="15">
        <v>0.1</v>
      </c>
      <c r="CG29" s="61">
        <f t="shared" si="5"/>
        <v>0.01</v>
      </c>
      <c r="CH29" s="66">
        <f t="shared" si="47"/>
        <v>0</v>
      </c>
      <c r="CI29" s="12">
        <f t="shared" si="6"/>
        <v>0</v>
      </c>
      <c r="CJ29" s="12">
        <f t="shared" si="6"/>
        <v>15105.63</v>
      </c>
      <c r="CK29" s="12">
        <f t="shared" si="6"/>
        <v>7552.82</v>
      </c>
      <c r="CL29" s="12">
        <f t="shared" si="6"/>
        <v>7552.82</v>
      </c>
      <c r="CM29" s="12">
        <f t="shared" si="6"/>
        <v>15105.63</v>
      </c>
      <c r="CN29" s="16">
        <f t="shared" si="6"/>
        <v>7552.82</v>
      </c>
      <c r="CO29" s="59">
        <f t="shared" si="193"/>
        <v>755.28</v>
      </c>
      <c r="CP29" s="69"/>
      <c r="CQ29" s="68"/>
      <c r="CR29" s="12"/>
      <c r="CS29" s="12"/>
      <c r="CT29" s="12"/>
      <c r="CU29" s="12"/>
      <c r="CV29" s="15"/>
      <c r="CW29" s="15"/>
      <c r="CX29" s="15"/>
      <c r="CY29" s="61">
        <f t="shared" si="7"/>
        <v>0</v>
      </c>
      <c r="CZ29" s="66">
        <f t="shared" si="194"/>
        <v>0</v>
      </c>
      <c r="DA29" s="12">
        <f t="shared" si="8"/>
        <v>0</v>
      </c>
      <c r="DB29" s="12">
        <f t="shared" si="8"/>
        <v>0</v>
      </c>
      <c r="DC29" s="12">
        <f t="shared" si="8"/>
        <v>0</v>
      </c>
      <c r="DD29" s="12">
        <f t="shared" si="8"/>
        <v>0</v>
      </c>
      <c r="DE29" s="12">
        <f t="shared" si="8"/>
        <v>0</v>
      </c>
      <c r="DF29" s="16">
        <f t="shared" si="8"/>
        <v>0</v>
      </c>
      <c r="DG29" s="59">
        <f t="shared" si="195"/>
        <v>0</v>
      </c>
      <c r="DH29" s="69"/>
      <c r="DI29" s="68"/>
      <c r="DJ29" s="12"/>
      <c r="DK29" s="12"/>
      <c r="DL29" s="12"/>
      <c r="DM29" s="12"/>
      <c r="DN29" s="15"/>
      <c r="DO29" s="15"/>
      <c r="DP29" s="15"/>
      <c r="DQ29" s="61">
        <f t="shared" si="9"/>
        <v>0</v>
      </c>
      <c r="DR29" s="66">
        <f t="shared" si="48"/>
        <v>0</v>
      </c>
      <c r="DS29" s="12">
        <f t="shared" si="10"/>
        <v>0</v>
      </c>
      <c r="DT29" s="12">
        <f t="shared" si="10"/>
        <v>0</v>
      </c>
      <c r="DU29" s="12">
        <f t="shared" si="10"/>
        <v>0</v>
      </c>
      <c r="DV29" s="12">
        <f t="shared" si="10"/>
        <v>0</v>
      </c>
      <c r="DW29" s="12">
        <f t="shared" si="10"/>
        <v>0</v>
      </c>
      <c r="DX29" s="16">
        <f t="shared" si="10"/>
        <v>0</v>
      </c>
      <c r="DY29" s="59">
        <f t="shared" si="196"/>
        <v>0</v>
      </c>
      <c r="DZ29" s="69"/>
      <c r="EA29" s="68"/>
      <c r="EB29" s="12"/>
      <c r="EC29" s="12"/>
      <c r="ED29" s="12"/>
      <c r="EE29" s="15"/>
      <c r="EF29" s="15"/>
      <c r="EG29" s="15"/>
      <c r="EH29" s="61">
        <f t="shared" si="197"/>
        <v>0</v>
      </c>
      <c r="EI29" s="66">
        <f t="shared" si="11"/>
        <v>0</v>
      </c>
      <c r="EJ29" s="12">
        <f t="shared" si="11"/>
        <v>0</v>
      </c>
      <c r="EK29" s="12">
        <f t="shared" si="11"/>
        <v>0</v>
      </c>
      <c r="EL29" s="12">
        <f t="shared" si="11"/>
        <v>0</v>
      </c>
      <c r="EM29" s="12">
        <f t="shared" si="11"/>
        <v>0</v>
      </c>
      <c r="EN29" s="16">
        <f t="shared" si="11"/>
        <v>0</v>
      </c>
      <c r="EO29" s="59">
        <f t="shared" si="198"/>
        <v>0</v>
      </c>
      <c r="EP29" s="69"/>
      <c r="EQ29" s="68"/>
      <c r="ER29" s="12"/>
      <c r="ES29" s="12"/>
      <c r="ET29" s="15"/>
      <c r="EU29" s="15"/>
      <c r="EV29" s="61">
        <f t="shared" si="199"/>
        <v>0</v>
      </c>
      <c r="EW29" s="66">
        <f t="shared" si="49"/>
        <v>0</v>
      </c>
      <c r="EX29" s="12">
        <f t="shared" si="49"/>
        <v>0</v>
      </c>
      <c r="EY29" s="12">
        <f t="shared" si="49"/>
        <v>0</v>
      </c>
      <c r="EZ29" s="16">
        <f t="shared" si="49"/>
        <v>0</v>
      </c>
      <c r="FA29" s="59">
        <f t="shared" si="200"/>
        <v>0</v>
      </c>
      <c r="FB29" s="69"/>
      <c r="FC29" s="68"/>
      <c r="FD29" s="12"/>
      <c r="FE29" s="15"/>
      <c r="FF29" s="15"/>
      <c r="FG29" s="61">
        <f t="shared" si="201"/>
        <v>0</v>
      </c>
      <c r="FH29" s="66">
        <f t="shared" si="50"/>
        <v>0</v>
      </c>
      <c r="FI29" s="12">
        <f t="shared" si="50"/>
        <v>0</v>
      </c>
      <c r="FJ29" s="16">
        <f t="shared" si="50"/>
        <v>0</v>
      </c>
      <c r="FK29" s="59">
        <f t="shared" si="202"/>
        <v>0</v>
      </c>
      <c r="FL29" s="69"/>
      <c r="FM29" s="68"/>
      <c r="FN29" s="12"/>
      <c r="FO29" s="15"/>
      <c r="FP29" s="15"/>
      <c r="FQ29" s="15"/>
      <c r="FR29" s="15"/>
      <c r="FS29" s="61">
        <f t="shared" si="203"/>
        <v>0</v>
      </c>
      <c r="FT29" s="66">
        <f t="shared" si="204"/>
        <v>0</v>
      </c>
      <c r="FU29" s="12">
        <f t="shared" si="205"/>
        <v>0</v>
      </c>
      <c r="FV29" s="12">
        <f t="shared" si="206"/>
        <v>0</v>
      </c>
      <c r="FW29" s="12">
        <f t="shared" si="207"/>
        <v>0</v>
      </c>
      <c r="FX29" s="16">
        <f t="shared" si="51"/>
        <v>0</v>
      </c>
      <c r="FY29" s="59">
        <f t="shared" si="52"/>
        <v>0</v>
      </c>
      <c r="FZ29" s="69"/>
      <c r="GA29" s="68"/>
      <c r="GB29" s="12"/>
      <c r="GC29" s="15"/>
      <c r="GD29" s="15"/>
      <c r="GE29" s="15"/>
      <c r="GF29" s="61">
        <f t="shared" si="208"/>
        <v>0</v>
      </c>
      <c r="GG29" s="66">
        <f t="shared" si="53"/>
        <v>0</v>
      </c>
      <c r="GH29" s="66">
        <f t="shared" si="12"/>
        <v>0</v>
      </c>
      <c r="GI29" s="12">
        <f t="shared" si="13"/>
        <v>0</v>
      </c>
      <c r="GJ29" s="12">
        <f t="shared" si="179"/>
        <v>0</v>
      </c>
      <c r="GK29" s="31">
        <f t="shared" si="14"/>
        <v>0</v>
      </c>
      <c r="GL29" s="123">
        <f t="shared" si="15"/>
        <v>0</v>
      </c>
      <c r="GM29" s="410">
        <f t="shared" si="16"/>
        <v>0</v>
      </c>
      <c r="GN29" s="414"/>
      <c r="GO29" s="68"/>
      <c r="GP29" s="12"/>
      <c r="GQ29" s="15"/>
      <c r="GR29" s="15"/>
      <c r="GS29" s="15"/>
      <c r="GT29" s="15"/>
      <c r="GU29" s="61">
        <f t="shared" si="54"/>
        <v>0</v>
      </c>
      <c r="GV29" s="66">
        <f t="shared" si="17"/>
        <v>0</v>
      </c>
      <c r="GW29" s="12">
        <f t="shared" si="18"/>
        <v>0</v>
      </c>
      <c r="GX29" s="12">
        <f t="shared" si="19"/>
        <v>0</v>
      </c>
      <c r="GY29" s="12">
        <f t="shared" si="20"/>
        <v>0</v>
      </c>
      <c r="GZ29" s="16">
        <f t="shared" si="21"/>
        <v>0</v>
      </c>
      <c r="HA29" s="59">
        <f t="shared" si="55"/>
        <v>0</v>
      </c>
      <c r="HB29" s="69"/>
      <c r="HC29" s="68"/>
      <c r="HD29" s="12"/>
      <c r="HE29" s="15"/>
      <c r="HF29" s="15"/>
      <c r="HG29" s="15"/>
      <c r="HH29" s="15"/>
      <c r="HI29" s="15"/>
      <c r="HJ29" s="15"/>
      <c r="HK29" s="15"/>
      <c r="HL29" s="61">
        <f t="shared" si="56"/>
        <v>0</v>
      </c>
      <c r="HM29" s="66">
        <f t="shared" si="22"/>
        <v>0</v>
      </c>
      <c r="HN29" s="12">
        <f t="shared" si="23"/>
        <v>0</v>
      </c>
      <c r="HO29" s="12">
        <f t="shared" si="24"/>
        <v>0</v>
      </c>
      <c r="HP29" s="12">
        <f t="shared" si="25"/>
        <v>0</v>
      </c>
      <c r="HQ29" s="12">
        <f t="shared" si="26"/>
        <v>0</v>
      </c>
      <c r="HR29" s="12">
        <f t="shared" si="27"/>
        <v>0</v>
      </c>
      <c r="HS29" s="12">
        <f t="shared" si="28"/>
        <v>0</v>
      </c>
      <c r="HT29" s="16">
        <f t="shared" si="29"/>
        <v>0</v>
      </c>
      <c r="HU29" s="59">
        <f t="shared" si="57"/>
        <v>0</v>
      </c>
      <c r="HV29" s="69"/>
      <c r="HW29" s="68"/>
      <c r="HX29" s="12"/>
      <c r="HY29" s="15"/>
      <c r="HZ29" s="61">
        <f t="shared" si="58"/>
        <v>0</v>
      </c>
      <c r="IA29" s="66">
        <f t="shared" si="59"/>
        <v>0</v>
      </c>
      <c r="IB29" s="16">
        <f t="shared" si="59"/>
        <v>0</v>
      </c>
      <c r="IC29" s="59">
        <f t="shared" si="60"/>
        <v>0</v>
      </c>
      <c r="ID29" s="69"/>
      <c r="IE29" s="68"/>
      <c r="IF29" s="12"/>
      <c r="IG29" s="15"/>
      <c r="IH29" s="15"/>
      <c r="II29" s="15"/>
      <c r="IJ29" s="15"/>
      <c r="IK29" s="15"/>
      <c r="IL29" s="15"/>
      <c r="IM29" s="15"/>
      <c r="IN29" s="15"/>
      <c r="IO29" s="61">
        <f t="shared" si="61"/>
        <v>0</v>
      </c>
      <c r="IP29" s="66">
        <f t="shared" si="62"/>
        <v>0</v>
      </c>
      <c r="IQ29" s="12">
        <f t="shared" si="63"/>
        <v>0</v>
      </c>
      <c r="IR29" s="12">
        <f t="shared" si="64"/>
        <v>0</v>
      </c>
      <c r="IS29" s="12">
        <f t="shared" si="65"/>
        <v>0</v>
      </c>
      <c r="IT29" s="12">
        <f t="shared" si="66"/>
        <v>0</v>
      </c>
      <c r="IU29" s="12">
        <f t="shared" si="67"/>
        <v>0</v>
      </c>
      <c r="IV29" s="12">
        <f t="shared" si="68"/>
        <v>0</v>
      </c>
      <c r="IW29" s="15">
        <f t="shared" si="69"/>
        <v>0</v>
      </c>
      <c r="IX29" s="16">
        <f t="shared" si="69"/>
        <v>0</v>
      </c>
      <c r="IY29" s="59">
        <f t="shared" si="70"/>
        <v>0</v>
      </c>
      <c r="IZ29" s="69"/>
      <c r="JA29" s="68"/>
      <c r="JB29" s="12"/>
      <c r="JC29" s="15"/>
      <c r="JD29" s="15"/>
      <c r="JE29" s="15"/>
      <c r="JF29" s="15"/>
      <c r="JG29" s="15"/>
      <c r="JH29" s="15"/>
      <c r="JI29" s="15"/>
      <c r="JJ29" s="15"/>
      <c r="JK29" s="61">
        <f t="shared" si="71"/>
        <v>0</v>
      </c>
      <c r="JL29" s="66">
        <f t="shared" si="72"/>
        <v>0</v>
      </c>
      <c r="JM29" s="12">
        <f t="shared" si="73"/>
        <v>0</v>
      </c>
      <c r="JN29" s="12">
        <f t="shared" si="74"/>
        <v>0</v>
      </c>
      <c r="JO29" s="12">
        <f t="shared" si="75"/>
        <v>0</v>
      </c>
      <c r="JP29" s="12">
        <f t="shared" si="76"/>
        <v>0</v>
      </c>
      <c r="JQ29" s="12">
        <f t="shared" si="77"/>
        <v>0</v>
      </c>
      <c r="JR29" s="12">
        <f t="shared" si="78"/>
        <v>0</v>
      </c>
      <c r="JS29" s="12">
        <f t="shared" si="79"/>
        <v>0</v>
      </c>
      <c r="JT29" s="16">
        <f t="shared" si="80"/>
        <v>0</v>
      </c>
      <c r="JU29" s="59">
        <f t="shared" si="81"/>
        <v>0</v>
      </c>
      <c r="JV29" s="69"/>
      <c r="JW29" s="68"/>
      <c r="JX29" s="12"/>
      <c r="JY29" s="12"/>
      <c r="JZ29" s="15"/>
      <c r="KA29" s="15"/>
      <c r="KB29" s="15"/>
      <c r="KC29" s="15"/>
      <c r="KD29" s="15"/>
      <c r="KE29" s="15"/>
      <c r="KF29" s="15"/>
      <c r="KG29" s="61">
        <f t="shared" si="82"/>
        <v>0</v>
      </c>
      <c r="KH29" s="146">
        <f t="shared" si="83"/>
        <v>0</v>
      </c>
      <c r="KI29" s="12">
        <f t="shared" si="83"/>
        <v>0</v>
      </c>
      <c r="KJ29" s="12">
        <f t="shared" si="84"/>
        <v>0</v>
      </c>
      <c r="KK29" s="12">
        <f t="shared" si="85"/>
        <v>0</v>
      </c>
      <c r="KL29" s="12">
        <f t="shared" si="86"/>
        <v>0</v>
      </c>
      <c r="KM29" s="12">
        <f t="shared" si="87"/>
        <v>0</v>
      </c>
      <c r="KN29" s="12">
        <f t="shared" si="88"/>
        <v>0</v>
      </c>
      <c r="KO29" s="12">
        <f t="shared" si="89"/>
        <v>0</v>
      </c>
      <c r="KP29" s="16">
        <f t="shared" si="90"/>
        <v>0</v>
      </c>
      <c r="KQ29" s="59">
        <f t="shared" si="91"/>
        <v>0</v>
      </c>
      <c r="KR29" s="69"/>
      <c r="KS29" s="68"/>
      <c r="KT29" s="12"/>
      <c r="KU29" s="15"/>
      <c r="KV29" s="15"/>
      <c r="KW29" s="15"/>
      <c r="KX29" s="15"/>
      <c r="KY29" s="15"/>
      <c r="KZ29" s="15"/>
      <c r="LA29" s="15"/>
      <c r="LB29" s="61">
        <f t="shared" si="92"/>
        <v>0</v>
      </c>
      <c r="LC29" s="66">
        <f t="shared" si="93"/>
        <v>0</v>
      </c>
      <c r="LD29" s="12">
        <f t="shared" si="94"/>
        <v>0</v>
      </c>
      <c r="LE29" s="12">
        <f t="shared" si="95"/>
        <v>0</v>
      </c>
      <c r="LF29" s="12">
        <f t="shared" si="96"/>
        <v>0</v>
      </c>
      <c r="LG29" s="12">
        <f t="shared" si="97"/>
        <v>0</v>
      </c>
      <c r="LH29" s="12">
        <f t="shared" si="98"/>
        <v>0</v>
      </c>
      <c r="LI29" s="12">
        <f t="shared" si="99"/>
        <v>0</v>
      </c>
      <c r="LJ29" s="16">
        <f t="shared" si="100"/>
        <v>0</v>
      </c>
      <c r="LK29" s="59">
        <f t="shared" si="101"/>
        <v>0</v>
      </c>
      <c r="LL29" s="69"/>
      <c r="LM29" s="68"/>
      <c r="LN29" s="15"/>
      <c r="LO29" s="15"/>
      <c r="LP29" s="15"/>
      <c r="LQ29" s="15"/>
      <c r="LR29" s="15"/>
      <c r="LS29" s="15"/>
      <c r="LT29" s="15"/>
      <c r="LU29" s="61">
        <f t="shared" si="102"/>
        <v>0</v>
      </c>
      <c r="LV29" s="66">
        <f t="shared" si="103"/>
        <v>0</v>
      </c>
      <c r="LW29" s="12">
        <f t="shared" si="104"/>
        <v>0</v>
      </c>
      <c r="LX29" s="12">
        <f t="shared" si="105"/>
        <v>0</v>
      </c>
      <c r="LY29" s="12">
        <f t="shared" si="106"/>
        <v>0</v>
      </c>
      <c r="LZ29" s="12">
        <f t="shared" si="107"/>
        <v>0</v>
      </c>
      <c r="MA29" s="12">
        <f t="shared" si="108"/>
        <v>0</v>
      </c>
      <c r="MB29" s="16">
        <f t="shared" si="109"/>
        <v>0</v>
      </c>
      <c r="MC29" s="59">
        <f t="shared" si="110"/>
        <v>0</v>
      </c>
      <c r="MD29" s="69"/>
      <c r="ME29" s="68"/>
      <c r="MF29" s="15"/>
      <c r="MG29" s="15"/>
      <c r="MH29" s="15"/>
      <c r="MI29" s="15"/>
      <c r="MJ29" s="15"/>
      <c r="MK29" s="15"/>
      <c r="ML29" s="15"/>
      <c r="MM29" s="61">
        <f t="shared" si="111"/>
        <v>0</v>
      </c>
      <c r="MN29" s="66">
        <f t="shared" si="112"/>
        <v>0</v>
      </c>
      <c r="MO29" s="12">
        <f t="shared" si="113"/>
        <v>0</v>
      </c>
      <c r="MP29" s="12">
        <f t="shared" si="114"/>
        <v>0</v>
      </c>
      <c r="MQ29" s="12">
        <f t="shared" si="115"/>
        <v>0</v>
      </c>
      <c r="MR29" s="12">
        <f t="shared" si="116"/>
        <v>0</v>
      </c>
      <c r="MS29" s="12">
        <f t="shared" si="116"/>
        <v>0</v>
      </c>
      <c r="MT29" s="16">
        <f t="shared" si="117"/>
        <v>0</v>
      </c>
      <c r="MU29" s="59">
        <f t="shared" si="189"/>
        <v>0</v>
      </c>
      <c r="MV29" s="620"/>
      <c r="MW29" s="619"/>
      <c r="MX29" s="15"/>
      <c r="MY29" s="15"/>
      <c r="MZ29" s="15"/>
      <c r="NA29" s="15"/>
      <c r="NB29" s="15"/>
      <c r="NC29" s="15"/>
      <c r="ND29" s="15"/>
      <c r="NE29" s="61">
        <f t="shared" si="118"/>
        <v>0</v>
      </c>
      <c r="NF29" s="66">
        <f t="shared" si="119"/>
        <v>0</v>
      </c>
      <c r="NG29" s="12">
        <f t="shared" si="120"/>
        <v>0</v>
      </c>
      <c r="NH29" s="12">
        <f t="shared" si="121"/>
        <v>0</v>
      </c>
      <c r="NI29" s="12">
        <f t="shared" si="122"/>
        <v>0</v>
      </c>
      <c r="NJ29" s="12">
        <f t="shared" si="123"/>
        <v>0</v>
      </c>
      <c r="NK29" s="12">
        <f t="shared" si="123"/>
        <v>0</v>
      </c>
      <c r="NL29" s="16">
        <f t="shared" si="124"/>
        <v>0</v>
      </c>
      <c r="NM29" s="59">
        <f t="shared" si="125"/>
        <v>0</v>
      </c>
      <c r="NN29" s="620"/>
      <c r="NO29" s="619"/>
      <c r="NP29" s="15"/>
      <c r="NQ29" s="15"/>
      <c r="NR29" s="15"/>
      <c r="NS29" s="15"/>
      <c r="NT29" s="15"/>
      <c r="NU29" s="61">
        <f t="shared" si="126"/>
        <v>0</v>
      </c>
      <c r="NV29" s="66">
        <f t="shared" si="190"/>
        <v>0</v>
      </c>
      <c r="NW29" s="12">
        <f t="shared" si="209"/>
        <v>0</v>
      </c>
      <c r="NX29" s="12">
        <f t="shared" si="210"/>
        <v>0</v>
      </c>
      <c r="NY29" s="12">
        <f t="shared" si="211"/>
        <v>0</v>
      </c>
      <c r="NZ29" s="16">
        <f t="shared" si="212"/>
        <v>0</v>
      </c>
      <c r="OA29" s="59">
        <f t="shared" si="131"/>
        <v>0</v>
      </c>
      <c r="OB29" s="134"/>
      <c r="OC29" s="133"/>
      <c r="OD29" s="15"/>
      <c r="OE29" s="15"/>
      <c r="OF29" s="15"/>
      <c r="OG29" s="15"/>
      <c r="OH29" s="15"/>
      <c r="OI29" s="61">
        <f t="shared" si="163"/>
        <v>0</v>
      </c>
      <c r="OJ29" s="66">
        <f t="shared" si="132"/>
        <v>0</v>
      </c>
      <c r="OK29" s="12">
        <f t="shared" si="133"/>
        <v>0</v>
      </c>
      <c r="OL29" s="12">
        <f t="shared" si="134"/>
        <v>0</v>
      </c>
      <c r="OM29" s="12">
        <f t="shared" si="135"/>
        <v>0</v>
      </c>
      <c r="ON29" s="16">
        <f t="shared" si="136"/>
        <v>0</v>
      </c>
      <c r="OO29" s="59">
        <f t="shared" si="137"/>
        <v>0</v>
      </c>
      <c r="OP29" s="134"/>
      <c r="OQ29" s="133"/>
      <c r="OR29" s="15"/>
      <c r="OS29" s="15"/>
      <c r="OT29" s="15"/>
      <c r="OU29" s="15"/>
      <c r="OV29" s="15"/>
      <c r="OW29" s="61">
        <f t="shared" si="138"/>
        <v>0</v>
      </c>
      <c r="OX29" s="66">
        <f t="shared" si="139"/>
        <v>0</v>
      </c>
      <c r="OY29" s="12">
        <f t="shared" si="140"/>
        <v>0</v>
      </c>
      <c r="OZ29" s="12">
        <f t="shared" si="141"/>
        <v>0</v>
      </c>
      <c r="PA29" s="12">
        <f t="shared" si="142"/>
        <v>0</v>
      </c>
      <c r="PB29" s="16">
        <f t="shared" si="143"/>
        <v>0</v>
      </c>
      <c r="PC29" s="59">
        <f t="shared" si="144"/>
        <v>0</v>
      </c>
      <c r="PD29" s="134"/>
      <c r="PE29" s="133"/>
      <c r="PF29" s="15"/>
      <c r="PG29" s="15"/>
      <c r="PH29" s="15"/>
      <c r="PI29" s="15"/>
      <c r="PJ29" s="15"/>
      <c r="PK29" s="61">
        <f t="shared" si="145"/>
        <v>0</v>
      </c>
      <c r="PL29" s="66">
        <f t="shared" si="174"/>
        <v>0</v>
      </c>
      <c r="PM29" s="12">
        <f t="shared" si="175"/>
        <v>0</v>
      </c>
      <c r="PN29" s="12">
        <f t="shared" si="176"/>
        <v>0</v>
      </c>
      <c r="PO29" s="12">
        <f t="shared" si="177"/>
        <v>0</v>
      </c>
      <c r="PP29" s="16">
        <f t="shared" si="178"/>
        <v>0</v>
      </c>
      <c r="PQ29" s="59">
        <f t="shared" si="150"/>
        <v>0</v>
      </c>
      <c r="PS29" s="884">
        <f t="shared" si="151"/>
        <v>0</v>
      </c>
    </row>
    <row r="30" spans="2:435" x14ac:dyDescent="0.2">
      <c r="B30" s="24">
        <v>21</v>
      </c>
      <c r="C30" s="25" t="s">
        <v>78</v>
      </c>
      <c r="D30" s="26"/>
      <c r="E30" s="42"/>
      <c r="F30" s="31"/>
      <c r="G30" s="12"/>
      <c r="H30" s="12"/>
      <c r="I30" s="12"/>
      <c r="J30" s="12"/>
      <c r="K30" s="12"/>
      <c r="L30" s="15"/>
      <c r="M30" s="61">
        <f>E30-F30-G30-H30-I30-J30-K30-L30</f>
        <v>0</v>
      </c>
      <c r="N30" s="31">
        <f t="shared" ref="N30:T30" si="256">IF($E30&lt;&gt;0,F30*$D30/$E30,0)</f>
        <v>0</v>
      </c>
      <c r="O30" s="12">
        <f t="shared" si="256"/>
        <v>0</v>
      </c>
      <c r="P30" s="12">
        <f t="shared" si="256"/>
        <v>0</v>
      </c>
      <c r="Q30" s="12">
        <f t="shared" si="256"/>
        <v>0</v>
      </c>
      <c r="R30" s="12">
        <f t="shared" si="256"/>
        <v>0</v>
      </c>
      <c r="S30" s="12">
        <f t="shared" si="256"/>
        <v>0</v>
      </c>
      <c r="T30" s="15">
        <f t="shared" si="256"/>
        <v>0</v>
      </c>
      <c r="U30" s="59">
        <f>D30-N30-O30-P30-Q30-R30-S30-T30</f>
        <v>0</v>
      </c>
      <c r="V30" s="26"/>
      <c r="W30" s="42"/>
      <c r="X30" s="31"/>
      <c r="Y30" s="12"/>
      <c r="Z30" s="12"/>
      <c r="AA30" s="12"/>
      <c r="AB30" s="12"/>
      <c r="AC30" s="12"/>
      <c r="AD30" s="15"/>
      <c r="AE30" s="15"/>
      <c r="AF30" s="61">
        <f>W30-X30-Y30-Z30-AA30-AB30-AC30-AD30-AE30</f>
        <v>0</v>
      </c>
      <c r="AG30" s="35">
        <f t="shared" ref="AG30:AN30" si="257">IF($W30&lt;&gt;0,X30*$V30/$W30,0)</f>
        <v>0</v>
      </c>
      <c r="AH30" s="35">
        <f t="shared" si="257"/>
        <v>0</v>
      </c>
      <c r="AI30" s="35">
        <f t="shared" si="257"/>
        <v>0</v>
      </c>
      <c r="AJ30" s="35">
        <f t="shared" si="257"/>
        <v>0</v>
      </c>
      <c r="AK30" s="35">
        <f t="shared" si="257"/>
        <v>0</v>
      </c>
      <c r="AL30" s="35">
        <f t="shared" si="257"/>
        <v>0</v>
      </c>
      <c r="AM30" s="35">
        <f t="shared" si="257"/>
        <v>0</v>
      </c>
      <c r="AN30" s="35">
        <f t="shared" si="257"/>
        <v>0</v>
      </c>
      <c r="AO30" s="62">
        <f>V30-AG30-AH30-AI30-AJ30-AK30-AL30-AM30-AN30</f>
        <v>0</v>
      </c>
      <c r="AP30" s="26"/>
      <c r="AQ30" s="42"/>
      <c r="AR30" s="12"/>
      <c r="AS30" s="12"/>
      <c r="AT30" s="12"/>
      <c r="AU30" s="12"/>
      <c r="AV30" s="15"/>
      <c r="AW30" s="15"/>
      <c r="AX30" s="61">
        <f>AQ30-AR30-AS30-AT30-AU30-AV30-AW30</f>
        <v>0</v>
      </c>
      <c r="AY30" s="35">
        <f t="shared" ref="AY30:BD30" si="258">IF($AQ30&lt;&gt;0,AR30*$AP30/$AQ30,0)</f>
        <v>0</v>
      </c>
      <c r="AZ30" s="35">
        <f t="shared" si="258"/>
        <v>0</v>
      </c>
      <c r="BA30" s="35">
        <f t="shared" si="258"/>
        <v>0</v>
      </c>
      <c r="BB30" s="35">
        <f t="shared" si="258"/>
        <v>0</v>
      </c>
      <c r="BC30" s="35">
        <f t="shared" si="258"/>
        <v>0</v>
      </c>
      <c r="BD30" s="34">
        <f t="shared" si="258"/>
        <v>0</v>
      </c>
      <c r="BE30" s="59">
        <f>AP30-AY30-AZ30-BA30-BB30-BC30-BD30</f>
        <v>0</v>
      </c>
      <c r="BF30" s="26"/>
      <c r="BG30" s="42"/>
      <c r="BH30" s="12"/>
      <c r="BI30" s="12"/>
      <c r="BJ30" s="12"/>
      <c r="BK30" s="12"/>
      <c r="BL30" s="15"/>
      <c r="BM30" s="15"/>
      <c r="BN30" s="15"/>
      <c r="BO30" s="61">
        <f>BG30-BH30-BI30-BJ30-BK30-BL30-BM30-BN30</f>
        <v>0</v>
      </c>
      <c r="BP30" s="65">
        <f t="shared" ref="BP30:BV30" si="259">IF($BG30&lt;&gt;0,BH30*$BF30/$BG30,0)</f>
        <v>0</v>
      </c>
      <c r="BQ30" s="33">
        <f t="shared" si="259"/>
        <v>0</v>
      </c>
      <c r="BR30" s="33">
        <f t="shared" si="259"/>
        <v>0</v>
      </c>
      <c r="BS30" s="33">
        <f t="shared" si="259"/>
        <v>0</v>
      </c>
      <c r="BT30" s="33">
        <f t="shared" si="259"/>
        <v>0</v>
      </c>
      <c r="BU30" s="33">
        <f t="shared" si="259"/>
        <v>0</v>
      </c>
      <c r="BV30" s="34">
        <f t="shared" si="259"/>
        <v>0</v>
      </c>
      <c r="BW30" s="59">
        <f>BF30-BP30-BQ30-BR30-BS30-BT30-BU30-BV30</f>
        <v>0</v>
      </c>
      <c r="BX30" s="27"/>
      <c r="BY30" s="68"/>
      <c r="BZ30" s="31"/>
      <c r="CA30" s="12"/>
      <c r="CB30" s="12"/>
      <c r="CC30" s="12"/>
      <c r="CD30" s="15"/>
      <c r="CE30" s="15"/>
      <c r="CF30" s="15"/>
      <c r="CG30" s="61">
        <f>BY30-BZ30-CA30-CB30-CC30-CD30-CE30-CF30</f>
        <v>0</v>
      </c>
      <c r="CH30" s="66">
        <f t="shared" ref="CH30:CN30" si="260">IF($BY30&lt;&gt;0,BZ30*$BX30/$BY30,0)</f>
        <v>0</v>
      </c>
      <c r="CI30" s="12">
        <f t="shared" si="260"/>
        <v>0</v>
      </c>
      <c r="CJ30" s="12">
        <f t="shared" si="260"/>
        <v>0</v>
      </c>
      <c r="CK30" s="12">
        <f t="shared" si="260"/>
        <v>0</v>
      </c>
      <c r="CL30" s="12">
        <f t="shared" si="260"/>
        <v>0</v>
      </c>
      <c r="CM30" s="12">
        <f t="shared" si="260"/>
        <v>0</v>
      </c>
      <c r="CN30" s="16">
        <f t="shared" si="260"/>
        <v>0</v>
      </c>
      <c r="CO30" s="59">
        <f>BX30-CH30-CI30-CJ30-CK30-CL30-CM30-CN30</f>
        <v>0</v>
      </c>
      <c r="CP30" s="27"/>
      <c r="CQ30" s="68"/>
      <c r="CR30" s="12"/>
      <c r="CS30" s="12"/>
      <c r="CT30" s="12"/>
      <c r="CU30" s="12"/>
      <c r="CV30" s="15"/>
      <c r="CW30" s="15"/>
      <c r="CX30" s="15"/>
      <c r="CY30" s="61">
        <f>CQ30-CR30-CS30-CT30-CU30-CV30-CW30-CX30</f>
        <v>0</v>
      </c>
      <c r="CZ30" s="66">
        <f t="shared" ref="CZ30:DF30" si="261">IF($CQ30&lt;&gt;0,CR30*$CP30/$CQ30,0)</f>
        <v>0</v>
      </c>
      <c r="DA30" s="12">
        <f t="shared" si="261"/>
        <v>0</v>
      </c>
      <c r="DB30" s="12">
        <f t="shared" si="261"/>
        <v>0</v>
      </c>
      <c r="DC30" s="12">
        <f t="shared" si="261"/>
        <v>0</v>
      </c>
      <c r="DD30" s="12">
        <f t="shared" si="261"/>
        <v>0</v>
      </c>
      <c r="DE30" s="12">
        <f t="shared" si="261"/>
        <v>0</v>
      </c>
      <c r="DF30" s="16">
        <f t="shared" si="261"/>
        <v>0</v>
      </c>
      <c r="DG30" s="59">
        <f>CP30-CZ30-DA30-DB30-DC30-DD30-DE30-DF30</f>
        <v>0</v>
      </c>
      <c r="DH30" s="27">
        <v>25000</v>
      </c>
      <c r="DI30" s="68">
        <v>1</v>
      </c>
      <c r="DJ30" s="12"/>
      <c r="DK30" s="12"/>
      <c r="DL30" s="12"/>
      <c r="DM30" s="12"/>
      <c r="DN30" s="15"/>
      <c r="DO30" s="15"/>
      <c r="DP30" s="15">
        <v>1</v>
      </c>
      <c r="DQ30" s="61">
        <f>DI30-DJ30-DK30-DL30-DM30-DN30-DO30-DP30</f>
        <v>0</v>
      </c>
      <c r="DR30" s="66">
        <f t="shared" ref="DR30:DX30" si="262">IF($DI30&lt;&gt;0,DJ30*$DH30/$DI30,0)</f>
        <v>0</v>
      </c>
      <c r="DS30" s="12">
        <f t="shared" si="262"/>
        <v>0</v>
      </c>
      <c r="DT30" s="12">
        <f t="shared" si="262"/>
        <v>0</v>
      </c>
      <c r="DU30" s="12">
        <f t="shared" si="262"/>
        <v>0</v>
      </c>
      <c r="DV30" s="12">
        <f t="shared" si="262"/>
        <v>0</v>
      </c>
      <c r="DW30" s="12">
        <f t="shared" si="262"/>
        <v>0</v>
      </c>
      <c r="DX30" s="16">
        <f t="shared" si="262"/>
        <v>25000</v>
      </c>
      <c r="DY30" s="59">
        <f>DH30-DR30-DS30-DT30-DU30-DV30-DW30-DX30</f>
        <v>0</v>
      </c>
      <c r="DZ30" s="27">
        <v>25000</v>
      </c>
      <c r="EA30" s="68">
        <v>1</v>
      </c>
      <c r="EB30" s="12"/>
      <c r="EC30" s="12"/>
      <c r="ED30" s="12"/>
      <c r="EE30" s="15"/>
      <c r="EF30" s="15"/>
      <c r="EG30" s="15">
        <v>1</v>
      </c>
      <c r="EH30" s="61">
        <f>EA30-EB30-EC30-ED30-EE30-EF30-EG30</f>
        <v>0</v>
      </c>
      <c r="EI30" s="66">
        <f t="shared" ref="EI30:EN30" si="263">IF($EA30&lt;&gt;0,EB30*$DZ30/$EA30,0)</f>
        <v>0</v>
      </c>
      <c r="EJ30" s="12">
        <f t="shared" si="263"/>
        <v>0</v>
      </c>
      <c r="EK30" s="12">
        <f t="shared" si="263"/>
        <v>0</v>
      </c>
      <c r="EL30" s="12">
        <f t="shared" si="263"/>
        <v>0</v>
      </c>
      <c r="EM30" s="12">
        <f t="shared" si="263"/>
        <v>0</v>
      </c>
      <c r="EN30" s="16">
        <f t="shared" si="263"/>
        <v>25000</v>
      </c>
      <c r="EO30" s="59">
        <f>DZ30-EI30-EJ30-EK30-EL30-EM30-EN30</f>
        <v>0</v>
      </c>
      <c r="EP30" s="27">
        <v>25000</v>
      </c>
      <c r="EQ30" s="68">
        <v>1</v>
      </c>
      <c r="ER30" s="12"/>
      <c r="ES30" s="12"/>
      <c r="ET30" s="15"/>
      <c r="EU30" s="15">
        <v>1</v>
      </c>
      <c r="EV30" s="61">
        <f>EQ30-ER30-ES30-ET30-EU30</f>
        <v>0</v>
      </c>
      <c r="EW30" s="66">
        <f>IF($EQ30&lt;&gt;0,ER30*$EP30/$EQ30,0)</f>
        <v>0</v>
      </c>
      <c r="EX30" s="12">
        <f>IF($EQ30&lt;&gt;0,ES30*$EP30/$EQ30,0)</f>
        <v>0</v>
      </c>
      <c r="EY30" s="12">
        <f>IF($EQ30&lt;&gt;0,ET30*$EP30/$EQ30,0)</f>
        <v>0</v>
      </c>
      <c r="EZ30" s="16">
        <f>IF($EQ30&lt;&gt;0,EU30*$EP30/$EQ30,0)</f>
        <v>25000</v>
      </c>
      <c r="FA30" s="59">
        <f>EP30-EW30-EX30-EY30-EZ30</f>
        <v>0</v>
      </c>
      <c r="FB30" s="27">
        <v>25000</v>
      </c>
      <c r="FC30" s="68">
        <v>1</v>
      </c>
      <c r="FD30" s="12"/>
      <c r="FE30" s="15"/>
      <c r="FF30" s="15">
        <v>1</v>
      </c>
      <c r="FG30" s="61">
        <f>FC30-FD30-FE30-FF30</f>
        <v>0</v>
      </c>
      <c r="FH30" s="66">
        <f>IF($FC30&lt;&gt;0,FD30*$FB30/$FC30,0)</f>
        <v>0</v>
      </c>
      <c r="FI30" s="12">
        <f>IF($FC30&lt;&gt;0,FE30*$FB30/$FC30,0)</f>
        <v>0</v>
      </c>
      <c r="FJ30" s="16">
        <f>IF($FC30&lt;&gt;0,FF30*$FB30/$FC30,0)</f>
        <v>25000</v>
      </c>
      <c r="FK30" s="59">
        <f>FB30-FH30-FI30-FJ30</f>
        <v>0</v>
      </c>
      <c r="FL30" s="27">
        <v>25000</v>
      </c>
      <c r="FM30" s="68">
        <v>1</v>
      </c>
      <c r="FN30" s="12"/>
      <c r="FO30" s="15"/>
      <c r="FP30" s="15"/>
      <c r="FQ30" s="15"/>
      <c r="FR30" s="15">
        <v>1</v>
      </c>
      <c r="FS30" s="61">
        <f>FM30-FN30-FO30-FR30-FP30-FQ30</f>
        <v>0</v>
      </c>
      <c r="FT30" s="66">
        <f>IF($FM30&lt;&gt;0,FN30*$FL30/$FM30,0)</f>
        <v>0</v>
      </c>
      <c r="FU30" s="12">
        <f>IF($FM30&lt;&gt;0,FO30*$FL30/$FM30,0)</f>
        <v>0</v>
      </c>
      <c r="FV30" s="12">
        <f>IF($FM30&lt;&gt;0,FP30*$FL30/$FM30,0)</f>
        <v>0</v>
      </c>
      <c r="FW30" s="12">
        <f>IF($FM30&lt;&gt;0,FQ30*$FL30/$FM30,0)</f>
        <v>0</v>
      </c>
      <c r="FX30" s="16">
        <f>IF($FM30&lt;&gt;0,FR30*$FL30/$FM30,0)</f>
        <v>25000</v>
      </c>
      <c r="FY30" s="59">
        <f>FL30-FT30-FU30-FX30-FV30-FW30</f>
        <v>0</v>
      </c>
      <c r="FZ30" s="27">
        <v>25000</v>
      </c>
      <c r="GA30" s="68">
        <v>1</v>
      </c>
      <c r="GB30" s="12"/>
      <c r="GC30" s="15"/>
      <c r="GD30" s="15"/>
      <c r="GE30" s="15">
        <v>1</v>
      </c>
      <c r="GF30" s="61">
        <f>GA30-GB30-GC30-GD30-GE30</f>
        <v>0</v>
      </c>
      <c r="GG30" s="66">
        <f>IF($GA30&lt;&gt;0,GB30*$FZ30/$GA30,0)</f>
        <v>0</v>
      </c>
      <c r="GH30" s="66">
        <f>IF($GA30&lt;&gt;0,GB30*$FZ30/$GA30,0)</f>
        <v>0</v>
      </c>
      <c r="GI30" s="12">
        <f>IF($GA30&lt;&gt;0,GC30*$FZ30/$GA30,0)</f>
        <v>0</v>
      </c>
      <c r="GJ30" s="12">
        <f t="shared" si="179"/>
        <v>0</v>
      </c>
      <c r="GK30" s="31">
        <f>IF($GA30&lt;&gt;0,GD30*$FZ30/$GA30,0)</f>
        <v>0</v>
      </c>
      <c r="GL30" s="123">
        <f>IF($GA30&lt;&gt;0,GE30*$FZ30/$GA30,0)</f>
        <v>25000</v>
      </c>
      <c r="GM30" s="410">
        <f>FZ30-GG30-GI30-GK30-GL30</f>
        <v>0</v>
      </c>
      <c r="GN30" s="414">
        <v>25000</v>
      </c>
      <c r="GO30" s="68">
        <v>1</v>
      </c>
      <c r="GP30" s="12"/>
      <c r="GQ30" s="15"/>
      <c r="GR30" s="15"/>
      <c r="GS30" s="15"/>
      <c r="GT30" s="15">
        <v>1</v>
      </c>
      <c r="GU30" s="61">
        <f>GO30-GP30-GQ30-GR30-GS30-GT30</f>
        <v>0</v>
      </c>
      <c r="GV30" s="66">
        <f>IF($GO30&lt;&gt;0,GP30*$GN30/$GO30,0)</f>
        <v>0</v>
      </c>
      <c r="GW30" s="12">
        <f>IF($GO30&lt;&gt;0,GQ30*$GN30/$GO30,0)</f>
        <v>0</v>
      </c>
      <c r="GX30" s="12">
        <f>IF($GO30&lt;&gt;0,GR30*$GN30/$GO30,0)</f>
        <v>0</v>
      </c>
      <c r="GY30" s="12">
        <f>IF($GO30&lt;&gt;0,GS30*$GN30/$GO30,0)</f>
        <v>0</v>
      </c>
      <c r="GZ30" s="16">
        <f>IF($GO30&lt;&gt;0,GT30*$GN30/$GO30,0)</f>
        <v>25000</v>
      </c>
      <c r="HA30" s="59">
        <f>GN30-GV30-GW30-GX30-GY30-GZ30</f>
        <v>0</v>
      </c>
      <c r="HB30" s="27">
        <v>40000</v>
      </c>
      <c r="HC30" s="68">
        <v>1</v>
      </c>
      <c r="HD30" s="12"/>
      <c r="HE30" s="15"/>
      <c r="HF30" s="15"/>
      <c r="HG30" s="15"/>
      <c r="HH30" s="15">
        <v>1</v>
      </c>
      <c r="HI30" s="15"/>
      <c r="HJ30" s="15"/>
      <c r="HK30" s="15"/>
      <c r="HL30" s="61">
        <f>HC30-HD30-HE30-HF30-HG30-HH30-HI30-HJ30-HK30</f>
        <v>0</v>
      </c>
      <c r="HM30" s="66">
        <f t="shared" ref="HM30:HT30" si="264">IF($HC30&lt;&gt;0,HD30*$HB30/$HC30,0)</f>
        <v>0</v>
      </c>
      <c r="HN30" s="12">
        <f t="shared" si="264"/>
        <v>0</v>
      </c>
      <c r="HO30" s="12">
        <f t="shared" si="264"/>
        <v>0</v>
      </c>
      <c r="HP30" s="12">
        <f t="shared" si="264"/>
        <v>0</v>
      </c>
      <c r="HQ30" s="12">
        <f t="shared" si="264"/>
        <v>40000</v>
      </c>
      <c r="HR30" s="12">
        <f t="shared" si="264"/>
        <v>0</v>
      </c>
      <c r="HS30" s="12">
        <f t="shared" si="264"/>
        <v>0</v>
      </c>
      <c r="HT30" s="16">
        <f t="shared" si="264"/>
        <v>0</v>
      </c>
      <c r="HU30" s="59">
        <f>HB30-HM30-HN30-HO30-HP30-HQ30-HR30-HS30-HT30</f>
        <v>0</v>
      </c>
      <c r="HV30" s="27">
        <v>25000</v>
      </c>
      <c r="HW30" s="68">
        <v>1</v>
      </c>
      <c r="HX30" s="12"/>
      <c r="HY30" s="15"/>
      <c r="HZ30" s="61">
        <f>HW30-HX30-HY30</f>
        <v>1</v>
      </c>
      <c r="IA30" s="66">
        <f>IF($HW30&lt;&gt;0,HX30*$HV30/$HW30,0)</f>
        <v>0</v>
      </c>
      <c r="IB30" s="16">
        <f>IF($HW30&lt;&gt;0,HY30*$HV30/$HW30,0)</f>
        <v>0</v>
      </c>
      <c r="IC30" s="59">
        <f>HV30-IA30-IB30</f>
        <v>25000</v>
      </c>
      <c r="ID30" s="129">
        <f>1904.76+25595.36</f>
        <v>27500.12</v>
      </c>
      <c r="IE30" s="68">
        <v>1</v>
      </c>
      <c r="IF30" s="12"/>
      <c r="IG30" s="15"/>
      <c r="IH30" s="15"/>
      <c r="II30" s="15"/>
      <c r="IJ30" s="15">
        <v>1</v>
      </c>
      <c r="IK30" s="15"/>
      <c r="IL30" s="15"/>
      <c r="IM30" s="15"/>
      <c r="IN30" s="15"/>
      <c r="IO30" s="61">
        <f>IE30-IF30-IG30-IH30-II30-IJ30-IK30-IL30-IM30-IN30</f>
        <v>0</v>
      </c>
      <c r="IP30" s="66">
        <f t="shared" ref="IP30:IX30" si="265">IF($IE30&lt;&gt;0,IF30*$ID30/$IE30,0)</f>
        <v>0</v>
      </c>
      <c r="IQ30" s="12">
        <f t="shared" si="265"/>
        <v>0</v>
      </c>
      <c r="IR30" s="12">
        <f t="shared" si="265"/>
        <v>0</v>
      </c>
      <c r="IS30" s="12">
        <f t="shared" si="265"/>
        <v>0</v>
      </c>
      <c r="IT30" s="12">
        <f t="shared" si="265"/>
        <v>27500.12</v>
      </c>
      <c r="IU30" s="12">
        <f t="shared" si="265"/>
        <v>0</v>
      </c>
      <c r="IV30" s="12">
        <f t="shared" si="265"/>
        <v>0</v>
      </c>
      <c r="IW30" s="15">
        <f t="shared" si="265"/>
        <v>0</v>
      </c>
      <c r="IX30" s="16">
        <f t="shared" si="265"/>
        <v>0</v>
      </c>
      <c r="IY30" s="59">
        <f>ID30-IP30-IQ30-IR30-IS30-IT30-IU30-IV30-IW30-IX30</f>
        <v>0</v>
      </c>
      <c r="IZ30" s="129">
        <f>34285.71+2744.46</f>
        <v>37030.17</v>
      </c>
      <c r="JA30" s="68">
        <v>1</v>
      </c>
      <c r="JB30" s="12"/>
      <c r="JC30" s="15"/>
      <c r="JD30" s="15"/>
      <c r="JE30" s="15"/>
      <c r="JF30" s="15">
        <v>1</v>
      </c>
      <c r="JG30" s="15"/>
      <c r="JH30" s="15"/>
      <c r="JI30" s="15"/>
      <c r="JJ30" s="15"/>
      <c r="JK30" s="61">
        <f>JA30-JB30-JC30-JD30-JE30-JF30-JG30-JH30-JI30-JJ30</f>
        <v>0</v>
      </c>
      <c r="JL30" s="66">
        <f>IF($JA30&lt;&gt;0,JB30*$IZ30/$JA30,0)</f>
        <v>0</v>
      </c>
      <c r="JM30" s="12">
        <f t="shared" si="73"/>
        <v>0</v>
      </c>
      <c r="JN30" s="12">
        <f t="shared" si="74"/>
        <v>0</v>
      </c>
      <c r="JO30" s="12">
        <f t="shared" si="75"/>
        <v>0</v>
      </c>
      <c r="JP30" s="12">
        <f t="shared" si="76"/>
        <v>37030.17</v>
      </c>
      <c r="JQ30" s="12">
        <f t="shared" si="77"/>
        <v>0</v>
      </c>
      <c r="JR30" s="12">
        <f t="shared" si="78"/>
        <v>0</v>
      </c>
      <c r="JS30" s="12">
        <f t="shared" si="79"/>
        <v>0</v>
      </c>
      <c r="JT30" s="16">
        <f t="shared" si="80"/>
        <v>0</v>
      </c>
      <c r="JU30" s="59">
        <f t="shared" si="81"/>
        <v>0</v>
      </c>
      <c r="JV30" s="129">
        <v>40000</v>
      </c>
      <c r="JW30" s="68">
        <v>1</v>
      </c>
      <c r="JX30" s="12"/>
      <c r="JY30" s="12"/>
      <c r="JZ30" s="15"/>
      <c r="KA30" s="15"/>
      <c r="KB30" s="15">
        <v>1</v>
      </c>
      <c r="KC30" s="15"/>
      <c r="KD30" s="15"/>
      <c r="KE30" s="15"/>
      <c r="KF30" s="15"/>
      <c r="KG30" s="61">
        <f t="shared" si="82"/>
        <v>0</v>
      </c>
      <c r="KH30" s="146">
        <f t="shared" si="83"/>
        <v>0</v>
      </c>
      <c r="KI30" s="12">
        <f t="shared" si="83"/>
        <v>0</v>
      </c>
      <c r="KJ30" s="12">
        <f t="shared" si="84"/>
        <v>0</v>
      </c>
      <c r="KK30" s="12">
        <f t="shared" si="85"/>
        <v>0</v>
      </c>
      <c r="KL30" s="12">
        <f t="shared" si="86"/>
        <v>40000</v>
      </c>
      <c r="KM30" s="12">
        <f t="shared" si="87"/>
        <v>0</v>
      </c>
      <c r="KN30" s="12">
        <f t="shared" si="88"/>
        <v>0</v>
      </c>
      <c r="KO30" s="12">
        <f t="shared" si="89"/>
        <v>0</v>
      </c>
      <c r="KP30" s="16">
        <f t="shared" si="90"/>
        <v>0</v>
      </c>
      <c r="KQ30" s="59">
        <f t="shared" si="91"/>
        <v>0</v>
      </c>
      <c r="KR30" s="129">
        <v>37963.760000000002</v>
      </c>
      <c r="KS30" s="68">
        <v>1</v>
      </c>
      <c r="KT30" s="12"/>
      <c r="KU30" s="15"/>
      <c r="KV30" s="15">
        <v>0.25</v>
      </c>
      <c r="KW30" s="15">
        <v>0.75</v>
      </c>
      <c r="KX30" s="15"/>
      <c r="KY30" s="15"/>
      <c r="KZ30" s="15"/>
      <c r="LA30" s="15"/>
      <c r="LB30" s="61">
        <f t="shared" si="92"/>
        <v>0</v>
      </c>
      <c r="LC30" s="66">
        <f t="shared" si="93"/>
        <v>0</v>
      </c>
      <c r="LD30" s="12">
        <f t="shared" si="94"/>
        <v>0</v>
      </c>
      <c r="LE30" s="12">
        <f t="shared" si="95"/>
        <v>9490.94</v>
      </c>
      <c r="LF30" s="12">
        <f t="shared" si="96"/>
        <v>28472.82</v>
      </c>
      <c r="LG30" s="12">
        <f t="shared" si="97"/>
        <v>0</v>
      </c>
      <c r="LH30" s="12">
        <f t="shared" si="98"/>
        <v>0</v>
      </c>
      <c r="LI30" s="12">
        <f t="shared" si="99"/>
        <v>0</v>
      </c>
      <c r="LJ30" s="16">
        <f t="shared" si="100"/>
        <v>0</v>
      </c>
      <c r="LK30" s="59">
        <f t="shared" si="101"/>
        <v>0</v>
      </c>
      <c r="LL30" s="129">
        <v>40000</v>
      </c>
      <c r="LM30" s="68">
        <v>1</v>
      </c>
      <c r="LN30" s="15"/>
      <c r="LO30" s="15">
        <v>0.25</v>
      </c>
      <c r="LP30" s="15">
        <v>0.75</v>
      </c>
      <c r="LQ30" s="15"/>
      <c r="LR30" s="15"/>
      <c r="LS30" s="15"/>
      <c r="LT30" s="15"/>
      <c r="LU30" s="61">
        <f t="shared" si="102"/>
        <v>0</v>
      </c>
      <c r="LV30" s="66">
        <f t="shared" si="103"/>
        <v>0</v>
      </c>
      <c r="LW30" s="12">
        <f t="shared" si="104"/>
        <v>10000</v>
      </c>
      <c r="LX30" s="12">
        <f t="shared" si="105"/>
        <v>30000</v>
      </c>
      <c r="LY30" s="12">
        <f t="shared" si="106"/>
        <v>0</v>
      </c>
      <c r="LZ30" s="12">
        <f t="shared" si="107"/>
        <v>0</v>
      </c>
      <c r="MA30" s="12">
        <f t="shared" si="108"/>
        <v>0</v>
      </c>
      <c r="MB30" s="16">
        <f t="shared" si="109"/>
        <v>0</v>
      </c>
      <c r="MC30" s="59">
        <f t="shared" si="110"/>
        <v>0</v>
      </c>
      <c r="MD30" s="129">
        <v>40000</v>
      </c>
      <c r="ME30" s="68">
        <v>1</v>
      </c>
      <c r="MF30" s="15"/>
      <c r="MG30" s="15">
        <v>1</v>
      </c>
      <c r="MH30" s="15"/>
      <c r="MI30" s="15"/>
      <c r="MJ30" s="15"/>
      <c r="MK30" s="15"/>
      <c r="ML30" s="15"/>
      <c r="MM30" s="61">
        <f t="shared" si="111"/>
        <v>0</v>
      </c>
      <c r="MN30" s="66">
        <f t="shared" si="112"/>
        <v>0</v>
      </c>
      <c r="MO30" s="12">
        <f t="shared" si="113"/>
        <v>40000</v>
      </c>
      <c r="MP30" s="12">
        <f t="shared" si="114"/>
        <v>0</v>
      </c>
      <c r="MQ30" s="12">
        <f t="shared" si="115"/>
        <v>0</v>
      </c>
      <c r="MR30" s="12">
        <f t="shared" si="116"/>
        <v>0</v>
      </c>
      <c r="MS30" s="12">
        <f t="shared" si="116"/>
        <v>0</v>
      </c>
      <c r="MT30" s="16">
        <f t="shared" si="117"/>
        <v>0</v>
      </c>
      <c r="MU30" s="59">
        <f t="shared" si="189"/>
        <v>0</v>
      </c>
      <c r="MV30" s="617">
        <v>40000</v>
      </c>
      <c r="MW30" s="619">
        <v>1</v>
      </c>
      <c r="MX30" s="15"/>
      <c r="MY30" s="15">
        <v>1</v>
      </c>
      <c r="MZ30" s="15"/>
      <c r="NA30" s="15"/>
      <c r="NB30" s="15"/>
      <c r="NC30" s="15"/>
      <c r="ND30" s="15"/>
      <c r="NE30" s="61">
        <f t="shared" si="118"/>
        <v>0</v>
      </c>
      <c r="NF30" s="66">
        <f t="shared" si="119"/>
        <v>0</v>
      </c>
      <c r="NG30" s="12">
        <f t="shared" si="120"/>
        <v>40000</v>
      </c>
      <c r="NH30" s="12">
        <f t="shared" si="121"/>
        <v>0</v>
      </c>
      <c r="NI30" s="12">
        <f t="shared" si="122"/>
        <v>0</v>
      </c>
      <c r="NJ30" s="12">
        <f t="shared" si="123"/>
        <v>0</v>
      </c>
      <c r="NK30" s="12">
        <f t="shared" si="123"/>
        <v>0</v>
      </c>
      <c r="NL30" s="16">
        <f t="shared" si="124"/>
        <v>0</v>
      </c>
      <c r="NM30" s="59">
        <f t="shared" si="125"/>
        <v>0</v>
      </c>
      <c r="NN30" s="617">
        <v>50000</v>
      </c>
      <c r="NO30" s="619">
        <v>1</v>
      </c>
      <c r="NP30" s="15"/>
      <c r="NQ30" s="15"/>
      <c r="NR30" s="15"/>
      <c r="NS30" s="15"/>
      <c r="NT30" s="15"/>
      <c r="NU30" s="61">
        <f t="shared" si="126"/>
        <v>1</v>
      </c>
      <c r="NV30" s="66">
        <f t="shared" si="190"/>
        <v>0</v>
      </c>
      <c r="NW30" s="12">
        <f t="shared" si="209"/>
        <v>0</v>
      </c>
      <c r="NX30" s="12">
        <f t="shared" si="210"/>
        <v>0</v>
      </c>
      <c r="NY30" s="12">
        <f t="shared" si="211"/>
        <v>0</v>
      </c>
      <c r="NZ30" s="16">
        <f t="shared" si="212"/>
        <v>0</v>
      </c>
      <c r="OA30" s="59">
        <f t="shared" si="131"/>
        <v>50000</v>
      </c>
      <c r="OB30" s="131">
        <v>50000</v>
      </c>
      <c r="OC30" s="133">
        <v>1</v>
      </c>
      <c r="OD30" s="15"/>
      <c r="OE30" s="15"/>
      <c r="OF30" s="15"/>
      <c r="OG30" s="15"/>
      <c r="OH30" s="15"/>
      <c r="OI30" s="61">
        <f t="shared" si="163"/>
        <v>1</v>
      </c>
      <c r="OJ30" s="66">
        <f t="shared" si="132"/>
        <v>0</v>
      </c>
      <c r="OK30" s="12">
        <f t="shared" si="133"/>
        <v>0</v>
      </c>
      <c r="OL30" s="12">
        <f t="shared" si="134"/>
        <v>0</v>
      </c>
      <c r="OM30" s="12">
        <f t="shared" si="135"/>
        <v>0</v>
      </c>
      <c r="ON30" s="16">
        <f t="shared" si="136"/>
        <v>0</v>
      </c>
      <c r="OO30" s="59">
        <f t="shared" si="137"/>
        <v>50000</v>
      </c>
      <c r="OP30" s="131">
        <v>50000</v>
      </c>
      <c r="OQ30" s="133">
        <v>1</v>
      </c>
      <c r="OR30" s="15"/>
      <c r="OS30" s="15"/>
      <c r="OT30" s="15"/>
      <c r="OU30" s="15"/>
      <c r="OV30" s="15"/>
      <c r="OW30" s="61">
        <f t="shared" si="138"/>
        <v>1</v>
      </c>
      <c r="OX30" s="66">
        <f t="shared" si="139"/>
        <v>0</v>
      </c>
      <c r="OY30" s="12">
        <f t="shared" si="140"/>
        <v>0</v>
      </c>
      <c r="OZ30" s="12">
        <f t="shared" si="141"/>
        <v>0</v>
      </c>
      <c r="PA30" s="12">
        <f t="shared" si="142"/>
        <v>0</v>
      </c>
      <c r="PB30" s="16">
        <f t="shared" si="143"/>
        <v>0</v>
      </c>
      <c r="PC30" s="59">
        <f t="shared" si="144"/>
        <v>50000</v>
      </c>
      <c r="PD30" s="131">
        <v>50000</v>
      </c>
      <c r="PE30" s="133">
        <v>1</v>
      </c>
      <c r="PF30" s="15"/>
      <c r="PG30" s="15"/>
      <c r="PH30" s="15"/>
      <c r="PI30" s="15"/>
      <c r="PJ30" s="15"/>
      <c r="PK30" s="61">
        <f t="shared" si="145"/>
        <v>1</v>
      </c>
      <c r="PL30" s="66">
        <f t="shared" si="174"/>
        <v>0</v>
      </c>
      <c r="PM30" s="12">
        <f t="shared" si="175"/>
        <v>0</v>
      </c>
      <c r="PN30" s="12">
        <f t="shared" si="176"/>
        <v>0</v>
      </c>
      <c r="PO30" s="12">
        <f t="shared" si="177"/>
        <v>0</v>
      </c>
      <c r="PP30" s="16">
        <f t="shared" si="178"/>
        <v>0</v>
      </c>
      <c r="PQ30" s="59">
        <f t="shared" si="150"/>
        <v>50000</v>
      </c>
      <c r="PS30" s="884">
        <f t="shared" si="151"/>
        <v>0</v>
      </c>
    </row>
    <row r="31" spans="2:435" x14ac:dyDescent="0.2">
      <c r="B31" s="24">
        <v>22</v>
      </c>
      <c r="C31" s="25" t="s">
        <v>109</v>
      </c>
      <c r="D31" s="26"/>
      <c r="E31" s="42"/>
      <c r="F31" s="31"/>
      <c r="G31" s="12"/>
      <c r="H31" s="12"/>
      <c r="I31" s="12"/>
      <c r="J31" s="12"/>
      <c r="K31" s="12"/>
      <c r="L31" s="15"/>
      <c r="M31" s="61"/>
      <c r="N31" s="31"/>
      <c r="O31" s="12"/>
      <c r="P31" s="12"/>
      <c r="Q31" s="12"/>
      <c r="R31" s="12"/>
      <c r="S31" s="12"/>
      <c r="T31" s="15"/>
      <c r="U31" s="59"/>
      <c r="V31" s="26"/>
      <c r="W31" s="42"/>
      <c r="X31" s="31"/>
      <c r="Y31" s="12"/>
      <c r="Z31" s="12"/>
      <c r="AA31" s="12"/>
      <c r="AB31" s="12"/>
      <c r="AC31" s="12"/>
      <c r="AD31" s="15"/>
      <c r="AE31" s="15"/>
      <c r="AF31" s="61"/>
      <c r="AG31" s="35"/>
      <c r="AH31" s="35"/>
      <c r="AI31" s="35"/>
      <c r="AJ31" s="35"/>
      <c r="AK31" s="35"/>
      <c r="AL31" s="35"/>
      <c r="AM31" s="35"/>
      <c r="AN31" s="35"/>
      <c r="AO31" s="62"/>
      <c r="AP31" s="26"/>
      <c r="AQ31" s="42"/>
      <c r="AR31" s="12"/>
      <c r="AS31" s="12"/>
      <c r="AT31" s="12"/>
      <c r="AU31" s="12"/>
      <c r="AV31" s="15"/>
      <c r="AW31" s="15"/>
      <c r="AX31" s="61"/>
      <c r="AY31" s="35"/>
      <c r="AZ31" s="35"/>
      <c r="BA31" s="35"/>
      <c r="BB31" s="35"/>
      <c r="BC31" s="35"/>
      <c r="BD31" s="34"/>
      <c r="BE31" s="59"/>
      <c r="BF31" s="26"/>
      <c r="BG31" s="42"/>
      <c r="BH31" s="12"/>
      <c r="BI31" s="12"/>
      <c r="BJ31" s="12"/>
      <c r="BK31" s="12"/>
      <c r="BL31" s="15"/>
      <c r="BM31" s="15"/>
      <c r="BN31" s="15"/>
      <c r="BO31" s="61"/>
      <c r="BP31" s="65"/>
      <c r="BQ31" s="33"/>
      <c r="BR31" s="33"/>
      <c r="BS31" s="33"/>
      <c r="BT31" s="33"/>
      <c r="BU31" s="33"/>
      <c r="BV31" s="34"/>
      <c r="BW31" s="59"/>
      <c r="BX31" s="27"/>
      <c r="BY31" s="68"/>
      <c r="BZ31" s="31"/>
      <c r="CA31" s="12"/>
      <c r="CB31" s="12"/>
      <c r="CC31" s="12"/>
      <c r="CD31" s="15"/>
      <c r="CE31" s="15"/>
      <c r="CF31" s="15"/>
      <c r="CG31" s="61"/>
      <c r="CH31" s="66"/>
      <c r="CI31" s="12"/>
      <c r="CJ31" s="12"/>
      <c r="CK31" s="12"/>
      <c r="CL31" s="12"/>
      <c r="CM31" s="12"/>
      <c r="CN31" s="16"/>
      <c r="CO31" s="59"/>
      <c r="CP31" s="27"/>
      <c r="CQ31" s="68"/>
      <c r="CR31" s="12"/>
      <c r="CS31" s="12"/>
      <c r="CT31" s="12"/>
      <c r="CU31" s="12"/>
      <c r="CV31" s="15"/>
      <c r="CW31" s="15"/>
      <c r="CX31" s="15"/>
      <c r="CY31" s="61"/>
      <c r="CZ31" s="66"/>
      <c r="DA31" s="12"/>
      <c r="DB31" s="12"/>
      <c r="DC31" s="12"/>
      <c r="DD31" s="12"/>
      <c r="DE31" s="12"/>
      <c r="DF31" s="16"/>
      <c r="DG31" s="59"/>
      <c r="DH31" s="27"/>
      <c r="DI31" s="68"/>
      <c r="DJ31" s="12"/>
      <c r="DK31" s="12"/>
      <c r="DL31" s="12"/>
      <c r="DM31" s="12"/>
      <c r="DN31" s="15"/>
      <c r="DO31" s="15"/>
      <c r="DP31" s="15"/>
      <c r="DQ31" s="61"/>
      <c r="DR31" s="66"/>
      <c r="DS31" s="12"/>
      <c r="DT31" s="12"/>
      <c r="DU31" s="12"/>
      <c r="DV31" s="12"/>
      <c r="DW31" s="12"/>
      <c r="DX31" s="16"/>
      <c r="DY31" s="59"/>
      <c r="DZ31" s="27"/>
      <c r="EA31" s="68"/>
      <c r="EB31" s="12"/>
      <c r="EC31" s="12"/>
      <c r="ED31" s="12"/>
      <c r="EE31" s="15"/>
      <c r="EF31" s="15"/>
      <c r="EG31" s="15"/>
      <c r="EH31" s="61"/>
      <c r="EI31" s="66"/>
      <c r="EJ31" s="12"/>
      <c r="EK31" s="12"/>
      <c r="EL31" s="12"/>
      <c r="EM31" s="12"/>
      <c r="EN31" s="16"/>
      <c r="EO31" s="59"/>
      <c r="EP31" s="27"/>
      <c r="EQ31" s="68"/>
      <c r="ER31" s="12"/>
      <c r="ES31" s="12"/>
      <c r="ET31" s="15"/>
      <c r="EU31" s="15"/>
      <c r="EV31" s="61"/>
      <c r="EW31" s="66"/>
      <c r="EX31" s="12"/>
      <c r="EY31" s="12"/>
      <c r="EZ31" s="16"/>
      <c r="FA31" s="59"/>
      <c r="FB31" s="27"/>
      <c r="FC31" s="68"/>
      <c r="FD31" s="12"/>
      <c r="FE31" s="15"/>
      <c r="FF31" s="15"/>
      <c r="FG31" s="61"/>
      <c r="FH31" s="66"/>
      <c r="FI31" s="12"/>
      <c r="FJ31" s="16"/>
      <c r="FK31" s="59"/>
      <c r="FL31" s="27"/>
      <c r="FM31" s="68"/>
      <c r="FN31" s="12"/>
      <c r="FO31" s="15"/>
      <c r="FP31" s="15"/>
      <c r="FQ31" s="15"/>
      <c r="FR31" s="15"/>
      <c r="FS31" s="61"/>
      <c r="FT31" s="66"/>
      <c r="FU31" s="12"/>
      <c r="FV31" s="12"/>
      <c r="FW31" s="12"/>
      <c r="FX31" s="16"/>
      <c r="FY31" s="59"/>
      <c r="FZ31" s="27"/>
      <c r="GA31" s="68"/>
      <c r="GB31" s="12"/>
      <c r="GC31" s="15"/>
      <c r="GD31" s="15"/>
      <c r="GE31" s="15"/>
      <c r="GF31" s="61"/>
      <c r="GG31" s="66"/>
      <c r="GH31" s="66"/>
      <c r="GI31" s="12"/>
      <c r="GJ31" s="12">
        <f>IF($GA31&lt;&gt;0,GC31*$FZ31/$GA31,0)</f>
        <v>0</v>
      </c>
      <c r="GK31" s="31"/>
      <c r="GL31" s="123"/>
      <c r="GM31" s="410"/>
      <c r="GN31" s="414"/>
      <c r="GO31" s="68"/>
      <c r="GP31" s="12"/>
      <c r="GQ31" s="15"/>
      <c r="GR31" s="15"/>
      <c r="GS31" s="15"/>
      <c r="GT31" s="15"/>
      <c r="GU31" s="61"/>
      <c r="GV31" s="66"/>
      <c r="GW31" s="12"/>
      <c r="GX31" s="12"/>
      <c r="GY31" s="12"/>
      <c r="GZ31" s="16"/>
      <c r="HA31" s="59"/>
      <c r="HB31" s="27"/>
      <c r="HC31" s="68"/>
      <c r="HD31" s="12"/>
      <c r="HE31" s="15"/>
      <c r="HF31" s="15"/>
      <c r="HG31" s="15"/>
      <c r="HH31" s="15"/>
      <c r="HI31" s="15"/>
      <c r="HJ31" s="15"/>
      <c r="HK31" s="15"/>
      <c r="HL31" s="61"/>
      <c r="HM31" s="66"/>
      <c r="HN31" s="12"/>
      <c r="HO31" s="12"/>
      <c r="HP31" s="12"/>
      <c r="HQ31" s="12"/>
      <c r="HR31" s="12"/>
      <c r="HS31" s="12"/>
      <c r="HT31" s="16"/>
      <c r="HU31" s="59"/>
      <c r="HV31" s="27"/>
      <c r="HW31" s="68"/>
      <c r="HX31" s="12"/>
      <c r="HY31" s="15"/>
      <c r="HZ31" s="61"/>
      <c r="IA31" s="66"/>
      <c r="IB31" s="16"/>
      <c r="IC31" s="59"/>
      <c r="ID31" s="129">
        <f>1190.48+34239.8</f>
        <v>35430.28</v>
      </c>
      <c r="IE31" s="68">
        <v>0.5</v>
      </c>
      <c r="IF31" s="12"/>
      <c r="IG31" s="15"/>
      <c r="IH31" s="15"/>
      <c r="II31" s="15"/>
      <c r="IJ31" s="15"/>
      <c r="IK31" s="15"/>
      <c r="IL31" s="15"/>
      <c r="IM31" s="15">
        <v>0.4</v>
      </c>
      <c r="IN31" s="15"/>
      <c r="IO31" s="61">
        <f>IE31-IF31-IG31-IH31-II31-IJ31-IK31-IL31-IM31-IN31</f>
        <v>0.1</v>
      </c>
      <c r="IP31" s="66">
        <f t="shared" ref="IP31:IX31" si="266">IF($IE31&lt;&gt;0,IF31*$ID31/$IE31,0)</f>
        <v>0</v>
      </c>
      <c r="IQ31" s="12">
        <f t="shared" si="266"/>
        <v>0</v>
      </c>
      <c r="IR31" s="12">
        <f t="shared" si="266"/>
        <v>0</v>
      </c>
      <c r="IS31" s="12">
        <f t="shared" si="266"/>
        <v>0</v>
      </c>
      <c r="IT31" s="12">
        <f t="shared" si="266"/>
        <v>0</v>
      </c>
      <c r="IU31" s="12">
        <f t="shared" si="266"/>
        <v>0</v>
      </c>
      <c r="IV31" s="12">
        <f t="shared" si="266"/>
        <v>0</v>
      </c>
      <c r="IW31" s="15">
        <f t="shared" si="266"/>
        <v>28344.22</v>
      </c>
      <c r="IX31" s="16">
        <f t="shared" si="266"/>
        <v>0</v>
      </c>
      <c r="IY31" s="59">
        <f>ID31-IP31-IQ31-IR31-IS31-IT31-IU31-IV31-IW31-IX31</f>
        <v>7086.06</v>
      </c>
      <c r="IZ31" s="129">
        <v>25000</v>
      </c>
      <c r="JA31" s="68">
        <v>0.5</v>
      </c>
      <c r="JB31" s="12">
        <v>0.5</v>
      </c>
      <c r="JC31" s="15"/>
      <c r="JD31" s="15"/>
      <c r="JE31" s="15"/>
      <c r="JF31" s="15"/>
      <c r="JG31" s="15"/>
      <c r="JH31" s="15"/>
      <c r="JI31" s="15"/>
      <c r="JJ31" s="15"/>
      <c r="JK31" s="61">
        <f>JA31-JB31-JC31-JD31-JE31-JF31-JG31-JH31-JI31-JJ31</f>
        <v>0</v>
      </c>
      <c r="JL31" s="66">
        <f>IF($JA31&lt;&gt;0,JB31*$IZ31/$JA31,0)</f>
        <v>25000</v>
      </c>
      <c r="JM31" s="12">
        <f t="shared" ref="JM31:JT31" si="267">IF($JA31&lt;&gt;0,JC31*$IZ31/$JA31,0)</f>
        <v>0</v>
      </c>
      <c r="JN31" s="12">
        <f t="shared" si="267"/>
        <v>0</v>
      </c>
      <c r="JO31" s="12">
        <f t="shared" si="267"/>
        <v>0</v>
      </c>
      <c r="JP31" s="12">
        <f t="shared" si="267"/>
        <v>0</v>
      </c>
      <c r="JQ31" s="12">
        <f t="shared" si="267"/>
        <v>0</v>
      </c>
      <c r="JR31" s="12">
        <f t="shared" si="267"/>
        <v>0</v>
      </c>
      <c r="JS31" s="12">
        <f t="shared" si="267"/>
        <v>0</v>
      </c>
      <c r="JT31" s="16">
        <f t="shared" si="267"/>
        <v>0</v>
      </c>
      <c r="JU31" s="59">
        <f>IZ31-JL31-JM31-JN31-JO31-JP31-JQ31-JR31-JS31-JT31</f>
        <v>0</v>
      </c>
      <c r="JV31" s="129">
        <v>25000</v>
      </c>
      <c r="JW31" s="68">
        <v>0.5</v>
      </c>
      <c r="JX31" s="12"/>
      <c r="JY31" s="12"/>
      <c r="JZ31" s="15"/>
      <c r="KA31" s="15"/>
      <c r="KB31" s="15"/>
      <c r="KC31" s="15">
        <v>0.5</v>
      </c>
      <c r="KD31" s="15"/>
      <c r="KE31" s="15"/>
      <c r="KF31" s="15"/>
      <c r="KG31" s="61">
        <f>JW31-JX31-JZ31-KA31-KB31-KC31-KD31-KE31-KF31-JY31</f>
        <v>0</v>
      </c>
      <c r="KH31" s="146">
        <f t="shared" ref="KH31:KP31" si="268">IF($JW31&lt;&gt;0,JX31*$JV31/$JW31,0)</f>
        <v>0</v>
      </c>
      <c r="KI31" s="12">
        <f t="shared" si="268"/>
        <v>0</v>
      </c>
      <c r="KJ31" s="12">
        <f t="shared" si="268"/>
        <v>0</v>
      </c>
      <c r="KK31" s="12">
        <f t="shared" si="268"/>
        <v>0</v>
      </c>
      <c r="KL31" s="12">
        <f t="shared" si="268"/>
        <v>0</v>
      </c>
      <c r="KM31" s="12">
        <f t="shared" si="268"/>
        <v>25000</v>
      </c>
      <c r="KN31" s="12">
        <f t="shared" si="268"/>
        <v>0</v>
      </c>
      <c r="KO31" s="12">
        <f t="shared" si="268"/>
        <v>0</v>
      </c>
      <c r="KP31" s="16">
        <f t="shared" si="268"/>
        <v>0</v>
      </c>
      <c r="KQ31" s="59">
        <f>JV31-KH31-KJ31-KK31-KL31-KM31-KN31-KO31-KP31-KI31</f>
        <v>0</v>
      </c>
      <c r="KR31" s="129">
        <v>25000</v>
      </c>
      <c r="KS31" s="68">
        <v>0.5</v>
      </c>
      <c r="KT31" s="12">
        <v>0.25</v>
      </c>
      <c r="KU31" s="15"/>
      <c r="KV31" s="15">
        <v>0.25</v>
      </c>
      <c r="KW31" s="15"/>
      <c r="KX31" s="15"/>
      <c r="KY31" s="15"/>
      <c r="KZ31" s="15"/>
      <c r="LA31" s="15"/>
      <c r="LB31" s="61">
        <f>KS31-KT31-KU31-KV31-KW31-KX31-KY31-KZ31-LA31</f>
        <v>0</v>
      </c>
      <c r="LC31" s="66">
        <f t="shared" ref="LC31:LJ31" si="269">IF($KS31&lt;&gt;0,KT31*$KR31/$KS31,0)</f>
        <v>12500</v>
      </c>
      <c r="LD31" s="12">
        <f t="shared" si="269"/>
        <v>0</v>
      </c>
      <c r="LE31" s="12">
        <f t="shared" si="269"/>
        <v>12500</v>
      </c>
      <c r="LF31" s="12">
        <f t="shared" si="269"/>
        <v>0</v>
      </c>
      <c r="LG31" s="12">
        <f t="shared" si="269"/>
        <v>0</v>
      </c>
      <c r="LH31" s="12">
        <f t="shared" si="269"/>
        <v>0</v>
      </c>
      <c r="LI31" s="12">
        <f t="shared" si="269"/>
        <v>0</v>
      </c>
      <c r="LJ31" s="16">
        <f t="shared" si="269"/>
        <v>0</v>
      </c>
      <c r="LK31" s="59">
        <f>KR31-LC31-LD31-LE31-LF31-LG31-LH31-LI31-LJ31</f>
        <v>0</v>
      </c>
      <c r="LL31" s="129">
        <v>25000</v>
      </c>
      <c r="LM31" s="68">
        <v>0.5</v>
      </c>
      <c r="LN31" s="15">
        <v>0.25</v>
      </c>
      <c r="LO31" s="15">
        <v>0.25</v>
      </c>
      <c r="LP31" s="15"/>
      <c r="LQ31" s="15"/>
      <c r="LR31" s="15"/>
      <c r="LS31" s="15"/>
      <c r="LT31" s="15"/>
      <c r="LU31" s="61">
        <f>LM31-LN31-LO31-LP31-LQ31-LR31-LS31-LT31</f>
        <v>0</v>
      </c>
      <c r="LV31" s="66">
        <f t="shared" ref="LV31:MB31" si="270">IF($LM31&lt;&gt;0,LN31*$LL31/$LM31,0)</f>
        <v>12500</v>
      </c>
      <c r="LW31" s="12">
        <f t="shared" si="270"/>
        <v>12500</v>
      </c>
      <c r="LX31" s="12">
        <f t="shared" si="270"/>
        <v>0</v>
      </c>
      <c r="LY31" s="12">
        <f t="shared" si="270"/>
        <v>0</v>
      </c>
      <c r="LZ31" s="12">
        <f t="shared" si="270"/>
        <v>0</v>
      </c>
      <c r="MA31" s="12">
        <f t="shared" si="270"/>
        <v>0</v>
      </c>
      <c r="MB31" s="16">
        <f t="shared" si="270"/>
        <v>0</v>
      </c>
      <c r="MC31" s="59">
        <f>LL31-LV31-LW31-LX31-LY31-LZ31-MA31-MB31</f>
        <v>0</v>
      </c>
      <c r="MD31" s="129">
        <v>25000</v>
      </c>
      <c r="ME31" s="68">
        <v>0.5</v>
      </c>
      <c r="MF31" s="15"/>
      <c r="MG31" s="15"/>
      <c r="MH31" s="15">
        <v>0.5</v>
      </c>
      <c r="MI31" s="15"/>
      <c r="MJ31" s="15"/>
      <c r="MK31" s="15"/>
      <c r="ML31" s="15"/>
      <c r="MM31" s="61">
        <f t="shared" si="111"/>
        <v>0</v>
      </c>
      <c r="MN31" s="66">
        <f t="shared" ref="MN31:MT31" si="271">IF($ME31&lt;&gt;0,MF31*$MD31/$ME31,0)</f>
        <v>0</v>
      </c>
      <c r="MO31" s="12">
        <f t="shared" si="271"/>
        <v>0</v>
      </c>
      <c r="MP31" s="12">
        <f t="shared" si="271"/>
        <v>25000</v>
      </c>
      <c r="MQ31" s="12">
        <f t="shared" si="271"/>
        <v>0</v>
      </c>
      <c r="MR31" s="12">
        <f t="shared" si="271"/>
        <v>0</v>
      </c>
      <c r="MS31" s="12">
        <f t="shared" si="271"/>
        <v>0</v>
      </c>
      <c r="MT31" s="16">
        <f t="shared" si="271"/>
        <v>0</v>
      </c>
      <c r="MU31" s="59">
        <f t="shared" si="189"/>
        <v>0</v>
      </c>
      <c r="MV31" s="617">
        <v>25000</v>
      </c>
      <c r="MW31" s="619">
        <v>0.5</v>
      </c>
      <c r="MX31" s="15"/>
      <c r="MY31" s="15"/>
      <c r="MZ31" s="15">
        <v>0.5</v>
      </c>
      <c r="NA31" s="15"/>
      <c r="NB31" s="15"/>
      <c r="NC31" s="15"/>
      <c r="ND31" s="15"/>
      <c r="NE31" s="61">
        <f t="shared" si="118"/>
        <v>0</v>
      </c>
      <c r="NF31" s="66">
        <f t="shared" ref="NF31:NL32" si="272">IF($MW31&lt;&gt;0,MX31*$MV31/$MW31,0)</f>
        <v>0</v>
      </c>
      <c r="NG31" s="12">
        <f t="shared" si="272"/>
        <v>0</v>
      </c>
      <c r="NH31" s="12">
        <f t="shared" si="272"/>
        <v>25000</v>
      </c>
      <c r="NI31" s="12">
        <f t="shared" si="272"/>
        <v>0</v>
      </c>
      <c r="NJ31" s="12">
        <f t="shared" si="272"/>
        <v>0</v>
      </c>
      <c r="NK31" s="12">
        <f t="shared" si="272"/>
        <v>0</v>
      </c>
      <c r="NL31" s="16">
        <f t="shared" si="272"/>
        <v>0</v>
      </c>
      <c r="NM31" s="59">
        <f t="shared" si="125"/>
        <v>0</v>
      </c>
      <c r="NN31" s="617">
        <v>25000</v>
      </c>
      <c r="NO31" s="619">
        <v>0.5</v>
      </c>
      <c r="NP31" s="15"/>
      <c r="NQ31" s="15">
        <v>0.5</v>
      </c>
      <c r="NR31" s="15"/>
      <c r="NS31" s="15"/>
      <c r="NT31" s="15"/>
      <c r="NU31" s="61">
        <f t="shared" si="126"/>
        <v>0</v>
      </c>
      <c r="NV31" s="66">
        <f t="shared" si="190"/>
        <v>0</v>
      </c>
      <c r="NW31" s="12">
        <f t="shared" si="209"/>
        <v>25000</v>
      </c>
      <c r="NX31" s="12">
        <f t="shared" si="210"/>
        <v>0</v>
      </c>
      <c r="NY31" s="12">
        <f t="shared" si="211"/>
        <v>0</v>
      </c>
      <c r="NZ31" s="16">
        <f t="shared" si="212"/>
        <v>0</v>
      </c>
      <c r="OA31" s="59">
        <f t="shared" si="131"/>
        <v>0</v>
      </c>
      <c r="OB31" s="131">
        <v>25000</v>
      </c>
      <c r="OC31" s="133">
        <v>0.5</v>
      </c>
      <c r="OD31" s="15"/>
      <c r="OE31" s="15">
        <v>0.5</v>
      </c>
      <c r="OF31" s="15"/>
      <c r="OG31" s="15"/>
      <c r="OH31" s="15"/>
      <c r="OI31" s="61">
        <f t="shared" si="163"/>
        <v>0</v>
      </c>
      <c r="OJ31" s="66">
        <f t="shared" si="132"/>
        <v>0</v>
      </c>
      <c r="OK31" s="12">
        <f t="shared" si="133"/>
        <v>25000</v>
      </c>
      <c r="OL31" s="12">
        <f t="shared" si="134"/>
        <v>0</v>
      </c>
      <c r="OM31" s="12">
        <f t="shared" si="135"/>
        <v>0</v>
      </c>
      <c r="ON31" s="16">
        <f t="shared" si="136"/>
        <v>0</v>
      </c>
      <c r="OO31" s="59">
        <f t="shared" si="137"/>
        <v>0</v>
      </c>
      <c r="OP31" s="131">
        <v>25000</v>
      </c>
      <c r="OQ31" s="133">
        <v>0.5</v>
      </c>
      <c r="OR31" s="15"/>
      <c r="OS31" s="15">
        <v>0.25</v>
      </c>
      <c r="OT31" s="15"/>
      <c r="OU31" s="15"/>
      <c r="OV31" s="15"/>
      <c r="OW31" s="61">
        <f t="shared" si="138"/>
        <v>0.25</v>
      </c>
      <c r="OX31" s="66">
        <f t="shared" si="139"/>
        <v>0</v>
      </c>
      <c r="OY31" s="12">
        <f t="shared" si="140"/>
        <v>12500</v>
      </c>
      <c r="OZ31" s="12">
        <f t="shared" si="141"/>
        <v>0</v>
      </c>
      <c r="PA31" s="12">
        <f t="shared" si="142"/>
        <v>0</v>
      </c>
      <c r="PB31" s="16">
        <f t="shared" si="143"/>
        <v>0</v>
      </c>
      <c r="PC31" s="59">
        <f t="shared" si="144"/>
        <v>12500</v>
      </c>
      <c r="PD31" s="131">
        <v>25000</v>
      </c>
      <c r="PE31" s="133">
        <v>0.5</v>
      </c>
      <c r="PF31" s="15"/>
      <c r="PG31" s="15"/>
      <c r="PH31" s="15"/>
      <c r="PI31" s="15"/>
      <c r="PJ31" s="15"/>
      <c r="PK31" s="61">
        <f t="shared" si="145"/>
        <v>0.5</v>
      </c>
      <c r="PL31" s="66">
        <f t="shared" si="174"/>
        <v>0</v>
      </c>
      <c r="PM31" s="12">
        <f t="shared" si="175"/>
        <v>0</v>
      </c>
      <c r="PN31" s="12">
        <f t="shared" si="176"/>
        <v>0</v>
      </c>
      <c r="PO31" s="12">
        <f t="shared" si="177"/>
        <v>0</v>
      </c>
      <c r="PP31" s="16">
        <f t="shared" si="178"/>
        <v>0</v>
      </c>
      <c r="PQ31" s="59">
        <f t="shared" si="150"/>
        <v>25000</v>
      </c>
      <c r="PS31" s="884">
        <f t="shared" si="151"/>
        <v>0</v>
      </c>
    </row>
    <row r="32" spans="2:435" x14ac:dyDescent="0.2">
      <c r="B32" s="24">
        <v>23</v>
      </c>
      <c r="C32" s="872" t="s">
        <v>290</v>
      </c>
      <c r="D32" s="26"/>
      <c r="E32" s="42"/>
      <c r="F32" s="31"/>
      <c r="G32" s="12"/>
      <c r="H32" s="12"/>
      <c r="I32" s="12"/>
      <c r="J32" s="12"/>
      <c r="K32" s="12"/>
      <c r="L32" s="15"/>
      <c r="M32" s="61"/>
      <c r="N32" s="31"/>
      <c r="O32" s="12"/>
      <c r="P32" s="12"/>
      <c r="Q32" s="12"/>
      <c r="R32" s="12"/>
      <c r="S32" s="12"/>
      <c r="T32" s="15"/>
      <c r="U32" s="59"/>
      <c r="V32" s="26"/>
      <c r="W32" s="42"/>
      <c r="X32" s="31"/>
      <c r="Y32" s="12"/>
      <c r="Z32" s="12"/>
      <c r="AA32" s="12"/>
      <c r="AB32" s="12"/>
      <c r="AC32" s="12"/>
      <c r="AD32" s="15"/>
      <c r="AE32" s="15"/>
      <c r="AF32" s="61"/>
      <c r="AG32" s="35"/>
      <c r="AH32" s="35"/>
      <c r="AI32" s="35"/>
      <c r="AJ32" s="35"/>
      <c r="AK32" s="35"/>
      <c r="AL32" s="35"/>
      <c r="AM32" s="35"/>
      <c r="AN32" s="35"/>
      <c r="AO32" s="62"/>
      <c r="AP32" s="26"/>
      <c r="AQ32" s="42"/>
      <c r="AR32" s="12"/>
      <c r="AS32" s="12"/>
      <c r="AT32" s="12"/>
      <c r="AU32" s="12"/>
      <c r="AV32" s="15"/>
      <c r="AW32" s="15"/>
      <c r="AX32" s="61"/>
      <c r="AY32" s="35"/>
      <c r="AZ32" s="35"/>
      <c r="BA32" s="35"/>
      <c r="BB32" s="35"/>
      <c r="BC32" s="35"/>
      <c r="BD32" s="34"/>
      <c r="BE32" s="59"/>
      <c r="BF32" s="26"/>
      <c r="BG32" s="42"/>
      <c r="BH32" s="12"/>
      <c r="BI32" s="12"/>
      <c r="BJ32" s="12"/>
      <c r="BK32" s="12"/>
      <c r="BL32" s="15"/>
      <c r="BM32" s="15"/>
      <c r="BN32" s="15"/>
      <c r="BO32" s="61"/>
      <c r="BP32" s="65"/>
      <c r="BQ32" s="33"/>
      <c r="BR32" s="33"/>
      <c r="BS32" s="33"/>
      <c r="BT32" s="33"/>
      <c r="BU32" s="33"/>
      <c r="BV32" s="34"/>
      <c r="BW32" s="59"/>
      <c r="BX32" s="27"/>
      <c r="BY32" s="68"/>
      <c r="BZ32" s="31"/>
      <c r="CA32" s="12"/>
      <c r="CB32" s="12"/>
      <c r="CC32" s="12"/>
      <c r="CD32" s="15"/>
      <c r="CE32" s="15"/>
      <c r="CF32" s="15"/>
      <c r="CG32" s="61"/>
      <c r="CH32" s="66"/>
      <c r="CI32" s="12"/>
      <c r="CJ32" s="12"/>
      <c r="CK32" s="12"/>
      <c r="CL32" s="12"/>
      <c r="CM32" s="12"/>
      <c r="CN32" s="16"/>
      <c r="CO32" s="59"/>
      <c r="CP32" s="27"/>
      <c r="CQ32" s="68"/>
      <c r="CR32" s="12"/>
      <c r="CS32" s="12"/>
      <c r="CT32" s="12"/>
      <c r="CU32" s="12"/>
      <c r="CV32" s="15"/>
      <c r="CW32" s="15"/>
      <c r="CX32" s="15"/>
      <c r="CY32" s="61"/>
      <c r="CZ32" s="66"/>
      <c r="DA32" s="12"/>
      <c r="DB32" s="12"/>
      <c r="DC32" s="12"/>
      <c r="DD32" s="12"/>
      <c r="DE32" s="12"/>
      <c r="DF32" s="16"/>
      <c r="DG32" s="59"/>
      <c r="DH32" s="27"/>
      <c r="DI32" s="68"/>
      <c r="DJ32" s="12"/>
      <c r="DK32" s="12"/>
      <c r="DL32" s="12"/>
      <c r="DM32" s="12"/>
      <c r="DN32" s="15"/>
      <c r="DO32" s="15"/>
      <c r="DP32" s="15"/>
      <c r="DQ32" s="61"/>
      <c r="DR32" s="66"/>
      <c r="DS32" s="12"/>
      <c r="DT32" s="12"/>
      <c r="DU32" s="12"/>
      <c r="DV32" s="12"/>
      <c r="DW32" s="12"/>
      <c r="DX32" s="16"/>
      <c r="DY32" s="59"/>
      <c r="DZ32" s="27"/>
      <c r="EA32" s="68"/>
      <c r="EB32" s="12"/>
      <c r="EC32" s="12"/>
      <c r="ED32" s="12"/>
      <c r="EE32" s="15"/>
      <c r="EF32" s="15"/>
      <c r="EG32" s="15"/>
      <c r="EH32" s="61"/>
      <c r="EI32" s="66"/>
      <c r="EJ32" s="12"/>
      <c r="EK32" s="12"/>
      <c r="EL32" s="12"/>
      <c r="EM32" s="12"/>
      <c r="EN32" s="16"/>
      <c r="EO32" s="59"/>
      <c r="EP32" s="27"/>
      <c r="EQ32" s="68"/>
      <c r="ER32" s="12"/>
      <c r="ES32" s="12"/>
      <c r="ET32" s="15"/>
      <c r="EU32" s="15"/>
      <c r="EV32" s="61"/>
      <c r="EW32" s="66"/>
      <c r="EX32" s="12"/>
      <c r="EY32" s="12"/>
      <c r="EZ32" s="16"/>
      <c r="FA32" s="59"/>
      <c r="FB32" s="27"/>
      <c r="FC32" s="68"/>
      <c r="FD32" s="12"/>
      <c r="FE32" s="15"/>
      <c r="FF32" s="15"/>
      <c r="FG32" s="61"/>
      <c r="FH32" s="66"/>
      <c r="FI32" s="12"/>
      <c r="FJ32" s="16"/>
      <c r="FK32" s="59"/>
      <c r="FL32" s="27"/>
      <c r="FM32" s="68"/>
      <c r="FN32" s="12"/>
      <c r="FO32" s="15"/>
      <c r="FP32" s="15"/>
      <c r="FQ32" s="15"/>
      <c r="FR32" s="15"/>
      <c r="FS32" s="61"/>
      <c r="FT32" s="66"/>
      <c r="FU32" s="12"/>
      <c r="FV32" s="12"/>
      <c r="FW32" s="12"/>
      <c r="FX32" s="16"/>
      <c r="FY32" s="59"/>
      <c r="FZ32" s="27"/>
      <c r="GA32" s="68"/>
      <c r="GB32" s="12"/>
      <c r="GC32" s="15"/>
      <c r="GD32" s="15"/>
      <c r="GE32" s="15"/>
      <c r="GF32" s="61"/>
      <c r="GG32" s="66"/>
      <c r="GH32" s="66"/>
      <c r="GI32" s="12"/>
      <c r="GJ32" s="12"/>
      <c r="GK32" s="31"/>
      <c r="GL32" s="123"/>
      <c r="GM32" s="410"/>
      <c r="GN32" s="414"/>
      <c r="GO32" s="68"/>
      <c r="GP32" s="12"/>
      <c r="GQ32" s="15"/>
      <c r="GR32" s="15"/>
      <c r="GS32" s="15"/>
      <c r="GT32" s="15"/>
      <c r="GU32" s="61"/>
      <c r="GV32" s="66"/>
      <c r="GW32" s="12"/>
      <c r="GX32" s="12"/>
      <c r="GY32" s="12"/>
      <c r="GZ32" s="16"/>
      <c r="HA32" s="59"/>
      <c r="HB32" s="27"/>
      <c r="HC32" s="68"/>
      <c r="HD32" s="12"/>
      <c r="HE32" s="15"/>
      <c r="HF32" s="15"/>
      <c r="HG32" s="15"/>
      <c r="HH32" s="15"/>
      <c r="HI32" s="15"/>
      <c r="HJ32" s="15"/>
      <c r="HK32" s="15"/>
      <c r="HL32" s="61"/>
      <c r="HM32" s="66"/>
      <c r="HN32" s="12"/>
      <c r="HO32" s="12"/>
      <c r="HP32" s="12"/>
      <c r="HQ32" s="12"/>
      <c r="HR32" s="12"/>
      <c r="HS32" s="12"/>
      <c r="HT32" s="16"/>
      <c r="HU32" s="59"/>
      <c r="HV32" s="27"/>
      <c r="HW32" s="68"/>
      <c r="HX32" s="12"/>
      <c r="HY32" s="15"/>
      <c r="HZ32" s="61"/>
      <c r="IA32" s="66"/>
      <c r="IB32" s="16"/>
      <c r="IC32" s="59"/>
      <c r="ID32" s="129"/>
      <c r="IE32" s="68"/>
      <c r="IF32" s="12"/>
      <c r="IG32" s="15"/>
      <c r="IH32" s="15"/>
      <c r="II32" s="15"/>
      <c r="IJ32" s="15"/>
      <c r="IK32" s="15"/>
      <c r="IL32" s="15"/>
      <c r="IM32" s="15"/>
      <c r="IN32" s="15"/>
      <c r="IO32" s="61"/>
      <c r="IP32" s="66"/>
      <c r="IQ32" s="12"/>
      <c r="IR32" s="12"/>
      <c r="IS32" s="12"/>
      <c r="IT32" s="12"/>
      <c r="IU32" s="12"/>
      <c r="IV32" s="12"/>
      <c r="IW32" s="15"/>
      <c r="IX32" s="16"/>
      <c r="IY32" s="59"/>
      <c r="IZ32" s="129"/>
      <c r="JA32" s="68"/>
      <c r="JB32" s="12"/>
      <c r="JC32" s="15"/>
      <c r="JD32" s="15"/>
      <c r="JE32" s="15"/>
      <c r="JF32" s="15"/>
      <c r="JG32" s="15"/>
      <c r="JH32" s="15"/>
      <c r="JI32" s="15"/>
      <c r="JJ32" s="15"/>
      <c r="JK32" s="61"/>
      <c r="JL32" s="66"/>
      <c r="JM32" s="12"/>
      <c r="JN32" s="12"/>
      <c r="JO32" s="12"/>
      <c r="JP32" s="12"/>
      <c r="JQ32" s="12"/>
      <c r="JR32" s="12"/>
      <c r="JS32" s="12"/>
      <c r="JT32" s="16"/>
      <c r="JU32" s="59"/>
      <c r="JV32" s="129"/>
      <c r="JW32" s="68"/>
      <c r="JX32" s="12"/>
      <c r="JY32" s="12"/>
      <c r="JZ32" s="15"/>
      <c r="KA32" s="15"/>
      <c r="KB32" s="15"/>
      <c r="KC32" s="15"/>
      <c r="KD32" s="15"/>
      <c r="KE32" s="15"/>
      <c r="KF32" s="15"/>
      <c r="KG32" s="61"/>
      <c r="KH32" s="146"/>
      <c r="KI32" s="12"/>
      <c r="KJ32" s="12"/>
      <c r="KK32" s="12"/>
      <c r="KL32" s="12"/>
      <c r="KM32" s="12"/>
      <c r="KN32" s="12"/>
      <c r="KO32" s="12"/>
      <c r="KP32" s="16"/>
      <c r="KQ32" s="59"/>
      <c r="KR32" s="129"/>
      <c r="KS32" s="68"/>
      <c r="KT32" s="12"/>
      <c r="KU32" s="15"/>
      <c r="KV32" s="15"/>
      <c r="KW32" s="15"/>
      <c r="KX32" s="15"/>
      <c r="KY32" s="15"/>
      <c r="KZ32" s="15"/>
      <c r="LA32" s="15"/>
      <c r="LB32" s="61"/>
      <c r="LC32" s="66"/>
      <c r="LD32" s="12"/>
      <c r="LE32" s="12"/>
      <c r="LF32" s="12"/>
      <c r="LG32" s="12"/>
      <c r="LH32" s="12"/>
      <c r="LI32" s="12"/>
      <c r="LJ32" s="16"/>
      <c r="LK32" s="59"/>
      <c r="LL32" s="129"/>
      <c r="LM32" s="68"/>
      <c r="LN32" s="15"/>
      <c r="LO32" s="15"/>
      <c r="LP32" s="15"/>
      <c r="LQ32" s="15"/>
      <c r="LR32" s="15"/>
      <c r="LS32" s="15"/>
      <c r="LT32" s="15"/>
      <c r="LU32" s="61"/>
      <c r="LV32" s="66"/>
      <c r="LW32" s="12"/>
      <c r="LX32" s="12"/>
      <c r="LY32" s="12"/>
      <c r="LZ32" s="12"/>
      <c r="MA32" s="12"/>
      <c r="MB32" s="16"/>
      <c r="MC32" s="59"/>
      <c r="MD32" s="129"/>
      <c r="ME32" s="68"/>
      <c r="MF32" s="15"/>
      <c r="MG32" s="15"/>
      <c r="MH32" s="15"/>
      <c r="MI32" s="15"/>
      <c r="MJ32" s="15"/>
      <c r="MK32" s="15"/>
      <c r="ML32" s="15"/>
      <c r="MM32" s="61">
        <f t="shared" si="111"/>
        <v>0</v>
      </c>
      <c r="MN32" s="66"/>
      <c r="MO32" s="12"/>
      <c r="MP32" s="12"/>
      <c r="MQ32" s="12"/>
      <c r="MR32" s="12"/>
      <c r="MS32" s="12"/>
      <c r="MT32" s="16"/>
      <c r="MU32" s="59"/>
      <c r="MV32" s="617">
        <v>40000</v>
      </c>
      <c r="MW32" s="619">
        <v>1</v>
      </c>
      <c r="MX32" s="15"/>
      <c r="MY32" s="15"/>
      <c r="MZ32" s="15"/>
      <c r="NA32" s="15"/>
      <c r="NB32" s="15"/>
      <c r="NC32" s="15"/>
      <c r="ND32" s="15"/>
      <c r="NE32" s="61">
        <f t="shared" si="118"/>
        <v>1</v>
      </c>
      <c r="NF32" s="66">
        <f t="shared" si="272"/>
        <v>0</v>
      </c>
      <c r="NG32" s="12">
        <f t="shared" si="272"/>
        <v>0</v>
      </c>
      <c r="NH32" s="12"/>
      <c r="NI32" s="12">
        <f t="shared" si="272"/>
        <v>0</v>
      </c>
      <c r="NJ32" s="12">
        <f t="shared" si="272"/>
        <v>0</v>
      </c>
      <c r="NK32" s="12">
        <f t="shared" si="272"/>
        <v>0</v>
      </c>
      <c r="NL32" s="16">
        <f t="shared" si="272"/>
        <v>0</v>
      </c>
      <c r="NM32" s="59">
        <f t="shared" si="125"/>
        <v>40000</v>
      </c>
      <c r="NN32" s="617">
        <v>40000</v>
      </c>
      <c r="NO32" s="619">
        <v>1</v>
      </c>
      <c r="NP32" s="15"/>
      <c r="NQ32" s="15"/>
      <c r="NR32" s="15"/>
      <c r="NS32" s="15"/>
      <c r="NT32" s="15"/>
      <c r="NU32" s="61">
        <f t="shared" si="126"/>
        <v>1</v>
      </c>
      <c r="NV32" s="66">
        <f t="shared" si="190"/>
        <v>0</v>
      </c>
      <c r="NW32" s="12"/>
      <c r="NX32" s="12">
        <f t="shared" si="210"/>
        <v>0</v>
      </c>
      <c r="NY32" s="12">
        <f t="shared" si="211"/>
        <v>0</v>
      </c>
      <c r="NZ32" s="16">
        <f t="shared" si="212"/>
        <v>0</v>
      </c>
      <c r="OA32" s="59">
        <f t="shared" si="131"/>
        <v>40000</v>
      </c>
      <c r="OB32" s="131">
        <v>40000</v>
      </c>
      <c r="OC32" s="133">
        <v>1</v>
      </c>
      <c r="OD32" s="15"/>
      <c r="OE32" s="15"/>
      <c r="OF32" s="15"/>
      <c r="OG32" s="15"/>
      <c r="OH32" s="15"/>
      <c r="OI32" s="61">
        <f t="shared" si="163"/>
        <v>1</v>
      </c>
      <c r="OJ32" s="66">
        <f t="shared" si="132"/>
        <v>0</v>
      </c>
      <c r="OK32" s="12"/>
      <c r="OL32" s="12">
        <f t="shared" si="134"/>
        <v>0</v>
      </c>
      <c r="OM32" s="12">
        <f t="shared" si="135"/>
        <v>0</v>
      </c>
      <c r="ON32" s="16">
        <f t="shared" si="136"/>
        <v>0</v>
      </c>
      <c r="OO32" s="59">
        <f t="shared" si="137"/>
        <v>40000</v>
      </c>
      <c r="OP32" s="131">
        <v>40000</v>
      </c>
      <c r="OQ32" s="133">
        <v>1</v>
      </c>
      <c r="OR32" s="15"/>
      <c r="OS32" s="15"/>
      <c r="OT32" s="15"/>
      <c r="OU32" s="15"/>
      <c r="OV32" s="15"/>
      <c r="OW32" s="61">
        <f t="shared" si="138"/>
        <v>1</v>
      </c>
      <c r="OX32" s="66">
        <f t="shared" si="139"/>
        <v>0</v>
      </c>
      <c r="OY32" s="12"/>
      <c r="OZ32" s="12">
        <f t="shared" si="141"/>
        <v>0</v>
      </c>
      <c r="PA32" s="12">
        <f t="shared" si="142"/>
        <v>0</v>
      </c>
      <c r="PB32" s="16">
        <f t="shared" si="143"/>
        <v>0</v>
      </c>
      <c r="PC32" s="59">
        <f t="shared" si="144"/>
        <v>40000</v>
      </c>
      <c r="PD32" s="131">
        <v>40000</v>
      </c>
      <c r="PE32" s="133">
        <v>1</v>
      </c>
      <c r="PF32" s="15"/>
      <c r="PG32" s="15"/>
      <c r="PH32" s="15"/>
      <c r="PI32" s="15"/>
      <c r="PJ32" s="15"/>
      <c r="PK32" s="61">
        <f t="shared" si="145"/>
        <v>1</v>
      </c>
      <c r="PL32" s="66">
        <f t="shared" si="174"/>
        <v>0</v>
      </c>
      <c r="PM32" s="12">
        <f t="shared" si="175"/>
        <v>0</v>
      </c>
      <c r="PN32" s="12">
        <f t="shared" si="176"/>
        <v>0</v>
      </c>
      <c r="PO32" s="12">
        <f t="shared" si="177"/>
        <v>0</v>
      </c>
      <c r="PP32" s="16">
        <f t="shared" si="178"/>
        <v>0</v>
      </c>
      <c r="PQ32" s="59">
        <f t="shared" si="150"/>
        <v>40000</v>
      </c>
      <c r="PS32" s="884">
        <f t="shared" si="151"/>
        <v>0</v>
      </c>
    </row>
    <row r="33" spans="2:435" x14ac:dyDescent="0.2">
      <c r="B33" s="24"/>
      <c r="C33" s="137" t="s">
        <v>10</v>
      </c>
      <c r="D33" s="26">
        <v>25000</v>
      </c>
      <c r="E33" s="42">
        <v>1</v>
      </c>
      <c r="F33" s="31"/>
      <c r="G33" s="12"/>
      <c r="H33" s="12"/>
      <c r="I33" s="12">
        <v>1</v>
      </c>
      <c r="J33" s="12"/>
      <c r="K33" s="12"/>
      <c r="L33" s="15"/>
      <c r="M33" s="61">
        <f t="shared" si="41"/>
        <v>0</v>
      </c>
      <c r="N33" s="31">
        <f t="shared" si="0"/>
        <v>0</v>
      </c>
      <c r="O33" s="12">
        <f t="shared" si="0"/>
        <v>0</v>
      </c>
      <c r="P33" s="12">
        <f t="shared" si="0"/>
        <v>0</v>
      </c>
      <c r="Q33" s="12">
        <f t="shared" si="0"/>
        <v>25000</v>
      </c>
      <c r="R33" s="12">
        <f t="shared" si="0"/>
        <v>0</v>
      </c>
      <c r="S33" s="12">
        <f t="shared" si="0"/>
        <v>0</v>
      </c>
      <c r="T33" s="15">
        <f t="shared" si="0"/>
        <v>0</v>
      </c>
      <c r="U33" s="59">
        <f t="shared" si="191"/>
        <v>0</v>
      </c>
      <c r="V33" s="26">
        <v>25000</v>
      </c>
      <c r="W33" s="42">
        <v>1</v>
      </c>
      <c r="X33" s="31"/>
      <c r="Y33" s="12"/>
      <c r="Z33" s="12"/>
      <c r="AA33" s="12">
        <v>0.55000000000000004</v>
      </c>
      <c r="AB33" s="12"/>
      <c r="AC33" s="12"/>
      <c r="AD33" s="15"/>
      <c r="AE33" s="15">
        <v>0.45</v>
      </c>
      <c r="AF33" s="61">
        <f t="shared" si="42"/>
        <v>0</v>
      </c>
      <c r="AG33" s="35">
        <f t="shared" si="43"/>
        <v>0</v>
      </c>
      <c r="AH33" s="35">
        <f t="shared" si="43"/>
        <v>0</v>
      </c>
      <c r="AI33" s="35">
        <f t="shared" si="43"/>
        <v>0</v>
      </c>
      <c r="AJ33" s="35">
        <f t="shared" si="43"/>
        <v>13750</v>
      </c>
      <c r="AK33" s="35">
        <f t="shared" si="43"/>
        <v>0</v>
      </c>
      <c r="AL33" s="35">
        <f t="shared" si="43"/>
        <v>0</v>
      </c>
      <c r="AM33" s="35">
        <f t="shared" si="43"/>
        <v>0</v>
      </c>
      <c r="AN33" s="35">
        <f t="shared" si="43"/>
        <v>11250</v>
      </c>
      <c r="AO33" s="62">
        <f t="shared" si="44"/>
        <v>0</v>
      </c>
      <c r="AP33" s="26">
        <v>25000</v>
      </c>
      <c r="AQ33" s="42">
        <v>1</v>
      </c>
      <c r="AR33" s="12"/>
      <c r="AS33" s="12">
        <v>0.65</v>
      </c>
      <c r="AT33" s="12"/>
      <c r="AU33" s="12"/>
      <c r="AV33" s="15">
        <v>0.2</v>
      </c>
      <c r="AW33" s="15">
        <v>0.15</v>
      </c>
      <c r="AX33" s="61">
        <f t="shared" si="45"/>
        <v>0</v>
      </c>
      <c r="AY33" s="35">
        <f t="shared" ref="AY33:BD67" si="273">IF($AQ33&lt;&gt;0,AR33*$AP33/$AQ33,0)</f>
        <v>0</v>
      </c>
      <c r="AZ33" s="35">
        <f t="shared" si="273"/>
        <v>16250</v>
      </c>
      <c r="BA33" s="35">
        <f t="shared" si="273"/>
        <v>0</v>
      </c>
      <c r="BB33" s="35">
        <f t="shared" si="273"/>
        <v>0</v>
      </c>
      <c r="BC33" s="35">
        <f t="shared" si="273"/>
        <v>5000</v>
      </c>
      <c r="BD33" s="34">
        <f t="shared" si="273"/>
        <v>3750</v>
      </c>
      <c r="BE33" s="59">
        <f t="shared" si="46"/>
        <v>0</v>
      </c>
      <c r="BF33" s="26">
        <v>25000</v>
      </c>
      <c r="BG33" s="42">
        <v>1</v>
      </c>
      <c r="BH33" s="12"/>
      <c r="BI33" s="12"/>
      <c r="BJ33" s="12">
        <v>1</v>
      </c>
      <c r="BK33" s="12"/>
      <c r="BL33" s="15"/>
      <c r="BM33" s="15"/>
      <c r="BN33" s="15"/>
      <c r="BO33" s="61">
        <f t="shared" si="3"/>
        <v>0</v>
      </c>
      <c r="BP33" s="65">
        <f t="shared" ref="BP33:BV67" si="274">IF($BG33&lt;&gt;0,BH33*$BF33/$BG33,0)</f>
        <v>0</v>
      </c>
      <c r="BQ33" s="33">
        <f t="shared" si="274"/>
        <v>0</v>
      </c>
      <c r="BR33" s="33">
        <f t="shared" si="274"/>
        <v>25000</v>
      </c>
      <c r="BS33" s="33">
        <f t="shared" si="274"/>
        <v>0</v>
      </c>
      <c r="BT33" s="33">
        <f t="shared" si="274"/>
        <v>0</v>
      </c>
      <c r="BU33" s="33">
        <f t="shared" si="274"/>
        <v>0</v>
      </c>
      <c r="BV33" s="34">
        <f t="shared" si="274"/>
        <v>0</v>
      </c>
      <c r="BW33" s="59">
        <f t="shared" si="192"/>
        <v>0</v>
      </c>
      <c r="BX33" s="69">
        <v>25000</v>
      </c>
      <c r="BY33" s="68">
        <v>1</v>
      </c>
      <c r="BZ33" s="31"/>
      <c r="CA33" s="12"/>
      <c r="CB33" s="12">
        <v>0.6</v>
      </c>
      <c r="CC33" s="12">
        <v>0.4</v>
      </c>
      <c r="CD33" s="15"/>
      <c r="CE33" s="15"/>
      <c r="CF33" s="15"/>
      <c r="CG33" s="61">
        <f t="shared" si="5"/>
        <v>0</v>
      </c>
      <c r="CH33" s="66">
        <f t="shared" si="47"/>
        <v>0</v>
      </c>
      <c r="CI33" s="12">
        <f t="shared" si="47"/>
        <v>0</v>
      </c>
      <c r="CJ33" s="12">
        <f t="shared" si="47"/>
        <v>15000</v>
      </c>
      <c r="CK33" s="12">
        <f t="shared" si="47"/>
        <v>10000</v>
      </c>
      <c r="CL33" s="12">
        <f t="shared" si="47"/>
        <v>0</v>
      </c>
      <c r="CM33" s="12">
        <f t="shared" si="47"/>
        <v>0</v>
      </c>
      <c r="CN33" s="16">
        <f t="shared" si="47"/>
        <v>0</v>
      </c>
      <c r="CO33" s="59">
        <f t="shared" si="193"/>
        <v>0</v>
      </c>
      <c r="CP33" s="69">
        <v>25000</v>
      </c>
      <c r="CQ33" s="68">
        <v>1</v>
      </c>
      <c r="CR33" s="12"/>
      <c r="CS33" s="12"/>
      <c r="CT33" s="12">
        <v>1</v>
      </c>
      <c r="CU33" s="12"/>
      <c r="CV33" s="15"/>
      <c r="CW33" s="15"/>
      <c r="CX33" s="15"/>
      <c r="CY33" s="61">
        <f t="shared" si="7"/>
        <v>0</v>
      </c>
      <c r="CZ33" s="66">
        <f t="shared" si="194"/>
        <v>0</v>
      </c>
      <c r="DA33" s="12">
        <f t="shared" si="194"/>
        <v>0</v>
      </c>
      <c r="DB33" s="12">
        <f t="shared" si="194"/>
        <v>25000</v>
      </c>
      <c r="DC33" s="12">
        <f t="shared" si="194"/>
        <v>0</v>
      </c>
      <c r="DD33" s="12">
        <f t="shared" si="194"/>
        <v>0</v>
      </c>
      <c r="DE33" s="12">
        <f t="shared" si="194"/>
        <v>0</v>
      </c>
      <c r="DF33" s="16">
        <f t="shared" si="194"/>
        <v>0</v>
      </c>
      <c r="DG33" s="59">
        <f t="shared" si="195"/>
        <v>0</v>
      </c>
      <c r="DH33" s="69">
        <v>25000</v>
      </c>
      <c r="DI33" s="68">
        <v>1</v>
      </c>
      <c r="DJ33" s="12"/>
      <c r="DK33" s="12"/>
      <c r="DL33" s="12">
        <v>1</v>
      </c>
      <c r="DM33" s="12"/>
      <c r="DN33" s="15"/>
      <c r="DO33" s="15"/>
      <c r="DP33" s="15"/>
      <c r="DQ33" s="61">
        <f t="shared" si="9"/>
        <v>0</v>
      </c>
      <c r="DR33" s="66">
        <f t="shared" si="48"/>
        <v>0</v>
      </c>
      <c r="DS33" s="12">
        <f t="shared" si="48"/>
        <v>0</v>
      </c>
      <c r="DT33" s="12">
        <f t="shared" si="48"/>
        <v>25000</v>
      </c>
      <c r="DU33" s="12">
        <f t="shared" si="48"/>
        <v>0</v>
      </c>
      <c r="DV33" s="12">
        <f t="shared" si="48"/>
        <v>0</v>
      </c>
      <c r="DW33" s="12">
        <f t="shared" si="48"/>
        <v>0</v>
      </c>
      <c r="DX33" s="16">
        <f t="shared" si="48"/>
        <v>0</v>
      </c>
      <c r="DY33" s="59">
        <f t="shared" si="196"/>
        <v>0</v>
      </c>
      <c r="DZ33" s="69">
        <f>8695.65+17777.76</f>
        <v>26473.41</v>
      </c>
      <c r="EA33" s="68">
        <v>1</v>
      </c>
      <c r="EB33" s="12">
        <v>1</v>
      </c>
      <c r="EC33" s="12"/>
      <c r="ED33" s="12"/>
      <c r="EE33" s="15"/>
      <c r="EF33" s="15"/>
      <c r="EG33" s="15"/>
      <c r="EH33" s="61">
        <f t="shared" si="197"/>
        <v>0</v>
      </c>
      <c r="EI33" s="66">
        <f t="shared" ref="EI33:EN67" si="275">IF($EA33&lt;&gt;0,EB33*$DZ33/$EA33,0)</f>
        <v>26473.41</v>
      </c>
      <c r="EJ33" s="12">
        <f t="shared" si="275"/>
        <v>0</v>
      </c>
      <c r="EK33" s="12">
        <f t="shared" si="275"/>
        <v>0</v>
      </c>
      <c r="EL33" s="12">
        <f t="shared" si="275"/>
        <v>0</v>
      </c>
      <c r="EM33" s="12">
        <f t="shared" si="275"/>
        <v>0</v>
      </c>
      <c r="EN33" s="16">
        <f t="shared" si="275"/>
        <v>0</v>
      </c>
      <c r="EO33" s="59">
        <f t="shared" si="198"/>
        <v>0</v>
      </c>
      <c r="EP33" s="69">
        <v>25000</v>
      </c>
      <c r="EQ33" s="68">
        <v>1</v>
      </c>
      <c r="ER33" s="12">
        <v>1</v>
      </c>
      <c r="ES33" s="12"/>
      <c r="ET33" s="15"/>
      <c r="EU33" s="15"/>
      <c r="EV33" s="61">
        <f t="shared" si="199"/>
        <v>0</v>
      </c>
      <c r="EW33" s="66">
        <f t="shared" si="49"/>
        <v>25000</v>
      </c>
      <c r="EX33" s="12">
        <f t="shared" si="49"/>
        <v>0</v>
      </c>
      <c r="EY33" s="12">
        <f t="shared" si="49"/>
        <v>0</v>
      </c>
      <c r="EZ33" s="16">
        <f t="shared" si="49"/>
        <v>0</v>
      </c>
      <c r="FA33" s="59">
        <f t="shared" si="200"/>
        <v>0</v>
      </c>
      <c r="FB33" s="69">
        <f>13095.24+11877.46</f>
        <v>24972.7</v>
      </c>
      <c r="FC33" s="68">
        <v>1</v>
      </c>
      <c r="FD33" s="12">
        <v>1</v>
      </c>
      <c r="FE33" s="15"/>
      <c r="FF33" s="15"/>
      <c r="FG33" s="61">
        <f t="shared" si="201"/>
        <v>0</v>
      </c>
      <c r="FH33" s="66">
        <f t="shared" si="50"/>
        <v>24972.7</v>
      </c>
      <c r="FI33" s="12">
        <f t="shared" si="50"/>
        <v>0</v>
      </c>
      <c r="FJ33" s="16">
        <f t="shared" si="50"/>
        <v>0</v>
      </c>
      <c r="FK33" s="59">
        <f t="shared" si="202"/>
        <v>0</v>
      </c>
      <c r="FL33" s="69">
        <f>11904.76+4231.05</f>
        <v>16135.81</v>
      </c>
      <c r="FM33" s="68">
        <v>0.5</v>
      </c>
      <c r="FN33" s="12">
        <v>0.5</v>
      </c>
      <c r="FO33" s="15"/>
      <c r="FP33" s="15"/>
      <c r="FQ33" s="15"/>
      <c r="FR33" s="15"/>
      <c r="FS33" s="61">
        <f t="shared" si="203"/>
        <v>0</v>
      </c>
      <c r="FT33" s="66">
        <f t="shared" si="204"/>
        <v>16135.81</v>
      </c>
      <c r="FU33" s="12">
        <f t="shared" si="205"/>
        <v>0</v>
      </c>
      <c r="FV33" s="12">
        <f t="shared" si="206"/>
        <v>0</v>
      </c>
      <c r="FW33" s="12">
        <f t="shared" si="207"/>
        <v>0</v>
      </c>
      <c r="FX33" s="16">
        <f t="shared" si="51"/>
        <v>0</v>
      </c>
      <c r="FY33" s="59">
        <f t="shared" si="52"/>
        <v>0</v>
      </c>
      <c r="FZ33" s="69"/>
      <c r="GA33" s="68"/>
      <c r="GB33" s="12"/>
      <c r="GC33" s="15"/>
      <c r="GD33" s="15"/>
      <c r="GE33" s="15"/>
      <c r="GF33" s="61">
        <f t="shared" si="208"/>
        <v>0</v>
      </c>
      <c r="GG33" s="66">
        <f t="shared" si="53"/>
        <v>0</v>
      </c>
      <c r="GH33" s="66">
        <f t="shared" si="12"/>
        <v>0</v>
      </c>
      <c r="GI33" s="12">
        <f t="shared" si="13"/>
        <v>0</v>
      </c>
      <c r="GJ33" s="12">
        <f t="shared" si="179"/>
        <v>0</v>
      </c>
      <c r="GK33" s="31">
        <f t="shared" si="14"/>
        <v>0</v>
      </c>
      <c r="GL33" s="123">
        <f t="shared" si="15"/>
        <v>0</v>
      </c>
      <c r="GM33" s="410">
        <f t="shared" si="16"/>
        <v>0</v>
      </c>
      <c r="GN33" s="414"/>
      <c r="GO33" s="68"/>
      <c r="GP33" s="12"/>
      <c r="GQ33" s="15"/>
      <c r="GR33" s="15"/>
      <c r="GS33" s="15"/>
      <c r="GT33" s="15"/>
      <c r="GU33" s="61">
        <f t="shared" si="54"/>
        <v>0</v>
      </c>
      <c r="GV33" s="66">
        <f t="shared" si="17"/>
        <v>0</v>
      </c>
      <c r="GW33" s="12">
        <f t="shared" si="18"/>
        <v>0</v>
      </c>
      <c r="GX33" s="12">
        <f t="shared" si="19"/>
        <v>0</v>
      </c>
      <c r="GY33" s="12">
        <f t="shared" si="20"/>
        <v>0</v>
      </c>
      <c r="GZ33" s="16">
        <f t="shared" si="21"/>
        <v>0</v>
      </c>
      <c r="HA33" s="59">
        <f t="shared" si="55"/>
        <v>0</v>
      </c>
      <c r="HB33" s="69"/>
      <c r="HC33" s="68"/>
      <c r="HD33" s="12"/>
      <c r="HE33" s="15"/>
      <c r="HF33" s="15"/>
      <c r="HG33" s="15"/>
      <c r="HH33" s="15"/>
      <c r="HI33" s="15"/>
      <c r="HJ33" s="15"/>
      <c r="HK33" s="15"/>
      <c r="HL33" s="61">
        <f t="shared" si="56"/>
        <v>0</v>
      </c>
      <c r="HM33" s="66">
        <f t="shared" si="22"/>
        <v>0</v>
      </c>
      <c r="HN33" s="12">
        <f t="shared" si="23"/>
        <v>0</v>
      </c>
      <c r="HO33" s="12">
        <f t="shared" si="24"/>
        <v>0</v>
      </c>
      <c r="HP33" s="12">
        <f t="shared" si="25"/>
        <v>0</v>
      </c>
      <c r="HQ33" s="12">
        <f t="shared" si="26"/>
        <v>0</v>
      </c>
      <c r="HR33" s="12">
        <f t="shared" si="27"/>
        <v>0</v>
      </c>
      <c r="HS33" s="12">
        <f t="shared" si="28"/>
        <v>0</v>
      </c>
      <c r="HT33" s="16">
        <f t="shared" si="29"/>
        <v>0</v>
      </c>
      <c r="HU33" s="59">
        <f t="shared" si="57"/>
        <v>0</v>
      </c>
      <c r="HV33" s="69"/>
      <c r="HW33" s="68"/>
      <c r="HX33" s="12"/>
      <c r="HY33" s="15"/>
      <c r="HZ33" s="61">
        <f t="shared" si="58"/>
        <v>0</v>
      </c>
      <c r="IA33" s="66">
        <f t="shared" si="59"/>
        <v>0</v>
      </c>
      <c r="IB33" s="16">
        <f t="shared" si="59"/>
        <v>0</v>
      </c>
      <c r="IC33" s="59">
        <f t="shared" si="60"/>
        <v>0</v>
      </c>
      <c r="ID33" s="69"/>
      <c r="IE33" s="68"/>
      <c r="IF33" s="12"/>
      <c r="IG33" s="15"/>
      <c r="IH33" s="15"/>
      <c r="II33" s="15"/>
      <c r="IJ33" s="15"/>
      <c r="IK33" s="15"/>
      <c r="IL33" s="15"/>
      <c r="IM33" s="15"/>
      <c r="IN33" s="15"/>
      <c r="IO33" s="61">
        <f t="shared" si="61"/>
        <v>0</v>
      </c>
      <c r="IP33" s="66">
        <f t="shared" si="62"/>
        <v>0</v>
      </c>
      <c r="IQ33" s="12">
        <f t="shared" si="63"/>
        <v>0</v>
      </c>
      <c r="IR33" s="12">
        <f t="shared" si="64"/>
        <v>0</v>
      </c>
      <c r="IS33" s="12">
        <f t="shared" si="65"/>
        <v>0</v>
      </c>
      <c r="IT33" s="12">
        <f t="shared" si="66"/>
        <v>0</v>
      </c>
      <c r="IU33" s="12">
        <f t="shared" si="67"/>
        <v>0</v>
      </c>
      <c r="IV33" s="12">
        <f t="shared" si="68"/>
        <v>0</v>
      </c>
      <c r="IW33" s="15">
        <f t="shared" si="69"/>
        <v>0</v>
      </c>
      <c r="IX33" s="16">
        <f t="shared" si="69"/>
        <v>0</v>
      </c>
      <c r="IY33" s="59">
        <f t="shared" si="70"/>
        <v>0</v>
      </c>
      <c r="IZ33" s="69"/>
      <c r="JA33" s="68"/>
      <c r="JB33" s="12"/>
      <c r="JC33" s="15"/>
      <c r="JD33" s="15"/>
      <c r="JE33" s="15"/>
      <c r="JF33" s="15"/>
      <c r="JG33" s="15"/>
      <c r="JH33" s="15"/>
      <c r="JI33" s="15"/>
      <c r="JJ33" s="15"/>
      <c r="JK33" s="61">
        <f t="shared" si="71"/>
        <v>0</v>
      </c>
      <c r="JL33" s="66">
        <f t="shared" si="72"/>
        <v>0</v>
      </c>
      <c r="JM33" s="12">
        <f t="shared" ref="JM33:JM67" si="276">IF($JA33&lt;&gt;0,JC33*$IZ33/$JA33,0)</f>
        <v>0</v>
      </c>
      <c r="JN33" s="12">
        <f t="shared" ref="JN33:JN67" si="277">IF($JA33&lt;&gt;0,JD33*$IZ33/$JA33,0)</f>
        <v>0</v>
      </c>
      <c r="JO33" s="12">
        <f t="shared" ref="JO33:JO67" si="278">IF($JA33&lt;&gt;0,JE33*$IZ33/$JA33,0)</f>
        <v>0</v>
      </c>
      <c r="JP33" s="12">
        <f t="shared" ref="JP33:JP67" si="279">IF($JA33&lt;&gt;0,JF33*$IZ33/$JA33,0)</f>
        <v>0</v>
      </c>
      <c r="JQ33" s="12">
        <f t="shared" ref="JQ33:JQ67" si="280">IF($JA33&lt;&gt;0,JG33*$IZ33/$JA33,0)</f>
        <v>0</v>
      </c>
      <c r="JR33" s="12">
        <f t="shared" ref="JR33:JR67" si="281">IF($JA33&lt;&gt;0,JH33*$IZ33/$JA33,0)</f>
        <v>0</v>
      </c>
      <c r="JS33" s="12">
        <f t="shared" ref="JS33:JS67" si="282">IF($JA33&lt;&gt;0,JI33*$IZ33/$JA33,0)</f>
        <v>0</v>
      </c>
      <c r="JT33" s="16">
        <f t="shared" ref="JT33:JT67" si="283">IF($JA33&lt;&gt;0,JJ33*$IZ33/$JA33,0)</f>
        <v>0</v>
      </c>
      <c r="JU33" s="59">
        <f t="shared" si="81"/>
        <v>0</v>
      </c>
      <c r="JV33" s="69"/>
      <c r="JW33" s="68"/>
      <c r="JX33" s="12"/>
      <c r="JY33" s="12"/>
      <c r="JZ33" s="15"/>
      <c r="KA33" s="15"/>
      <c r="KB33" s="15"/>
      <c r="KC33" s="15"/>
      <c r="KD33" s="15"/>
      <c r="KE33" s="15"/>
      <c r="KF33" s="15"/>
      <c r="KG33" s="61">
        <f t="shared" si="82"/>
        <v>0</v>
      </c>
      <c r="KH33" s="146">
        <f t="shared" si="83"/>
        <v>0</v>
      </c>
      <c r="KI33" s="12">
        <f t="shared" si="83"/>
        <v>0</v>
      </c>
      <c r="KJ33" s="12">
        <f t="shared" si="84"/>
        <v>0</v>
      </c>
      <c r="KK33" s="12">
        <f t="shared" si="85"/>
        <v>0</v>
      </c>
      <c r="KL33" s="12">
        <f t="shared" si="86"/>
        <v>0</v>
      </c>
      <c r="KM33" s="12">
        <f t="shared" si="87"/>
        <v>0</v>
      </c>
      <c r="KN33" s="12">
        <f t="shared" si="88"/>
        <v>0</v>
      </c>
      <c r="KO33" s="12">
        <f t="shared" si="89"/>
        <v>0</v>
      </c>
      <c r="KP33" s="16">
        <f t="shared" si="90"/>
        <v>0</v>
      </c>
      <c r="KQ33" s="59">
        <f t="shared" si="91"/>
        <v>0</v>
      </c>
      <c r="KR33" s="69"/>
      <c r="KS33" s="68"/>
      <c r="KT33" s="12"/>
      <c r="KU33" s="15"/>
      <c r="KV33" s="15"/>
      <c r="KW33" s="15"/>
      <c r="KX33" s="15"/>
      <c r="KY33" s="15"/>
      <c r="KZ33" s="15"/>
      <c r="LA33" s="15"/>
      <c r="LB33" s="61">
        <f t="shared" si="92"/>
        <v>0</v>
      </c>
      <c r="LC33" s="66">
        <f t="shared" si="93"/>
        <v>0</v>
      </c>
      <c r="LD33" s="12">
        <f t="shared" si="94"/>
        <v>0</v>
      </c>
      <c r="LE33" s="12">
        <f t="shared" si="95"/>
        <v>0</v>
      </c>
      <c r="LF33" s="12">
        <f t="shared" si="96"/>
        <v>0</v>
      </c>
      <c r="LG33" s="12">
        <f t="shared" si="97"/>
        <v>0</v>
      </c>
      <c r="LH33" s="12">
        <f t="shared" si="98"/>
        <v>0</v>
      </c>
      <c r="LI33" s="12">
        <f t="shared" si="99"/>
        <v>0</v>
      </c>
      <c r="LJ33" s="16">
        <f t="shared" si="100"/>
        <v>0</v>
      </c>
      <c r="LK33" s="59">
        <f t="shared" si="101"/>
        <v>0</v>
      </c>
      <c r="LL33" s="69"/>
      <c r="LM33" s="68"/>
      <c r="LN33" s="15"/>
      <c r="LO33" s="15"/>
      <c r="LP33" s="15"/>
      <c r="LQ33" s="15"/>
      <c r="LR33" s="15"/>
      <c r="LS33" s="15"/>
      <c r="LT33" s="15"/>
      <c r="LU33" s="61">
        <f t="shared" si="102"/>
        <v>0</v>
      </c>
      <c r="LV33" s="66">
        <f t="shared" si="103"/>
        <v>0</v>
      </c>
      <c r="LW33" s="12">
        <f t="shared" si="104"/>
        <v>0</v>
      </c>
      <c r="LX33" s="12">
        <f t="shared" si="105"/>
        <v>0</v>
      </c>
      <c r="LY33" s="12">
        <f t="shared" si="106"/>
        <v>0</v>
      </c>
      <c r="LZ33" s="12">
        <f t="shared" si="107"/>
        <v>0</v>
      </c>
      <c r="MA33" s="12">
        <f t="shared" si="108"/>
        <v>0</v>
      </c>
      <c r="MB33" s="16">
        <f t="shared" si="109"/>
        <v>0</v>
      </c>
      <c r="MC33" s="59">
        <f t="shared" si="110"/>
        <v>0</v>
      </c>
      <c r="MD33" s="69"/>
      <c r="ME33" s="68"/>
      <c r="MF33" s="15"/>
      <c r="MG33" s="15"/>
      <c r="MH33" s="15"/>
      <c r="MI33" s="15"/>
      <c r="MJ33" s="15"/>
      <c r="MK33" s="15"/>
      <c r="ML33" s="15"/>
      <c r="MM33" s="61">
        <f t="shared" si="111"/>
        <v>0</v>
      </c>
      <c r="MN33" s="66">
        <f t="shared" si="112"/>
        <v>0</v>
      </c>
      <c r="MO33" s="12">
        <f t="shared" si="113"/>
        <v>0</v>
      </c>
      <c r="MP33" s="12">
        <f t="shared" si="114"/>
        <v>0</v>
      </c>
      <c r="MQ33" s="12">
        <f t="shared" si="115"/>
        <v>0</v>
      </c>
      <c r="MR33" s="12">
        <f t="shared" si="116"/>
        <v>0</v>
      </c>
      <c r="MS33" s="12">
        <f t="shared" si="116"/>
        <v>0</v>
      </c>
      <c r="MT33" s="16">
        <f t="shared" si="117"/>
        <v>0</v>
      </c>
      <c r="MU33" s="59">
        <f t="shared" si="189"/>
        <v>0</v>
      </c>
      <c r="MV33" s="620"/>
      <c r="MW33" s="619"/>
      <c r="MX33" s="15"/>
      <c r="MY33" s="15"/>
      <c r="MZ33" s="15"/>
      <c r="NA33" s="15"/>
      <c r="NB33" s="15"/>
      <c r="NC33" s="15"/>
      <c r="ND33" s="15"/>
      <c r="NE33" s="61">
        <f t="shared" si="118"/>
        <v>0</v>
      </c>
      <c r="NF33" s="66">
        <f t="shared" si="119"/>
        <v>0</v>
      </c>
      <c r="NG33" s="12">
        <f t="shared" si="120"/>
        <v>0</v>
      </c>
      <c r="NH33" s="12">
        <f t="shared" si="121"/>
        <v>0</v>
      </c>
      <c r="NI33" s="12">
        <f t="shared" si="122"/>
        <v>0</v>
      </c>
      <c r="NJ33" s="12">
        <f t="shared" si="123"/>
        <v>0</v>
      </c>
      <c r="NK33" s="12">
        <f t="shared" si="123"/>
        <v>0</v>
      </c>
      <c r="NL33" s="16">
        <f t="shared" si="124"/>
        <v>0</v>
      </c>
      <c r="NM33" s="59">
        <f t="shared" si="125"/>
        <v>0</v>
      </c>
      <c r="NN33" s="620"/>
      <c r="NO33" s="619"/>
      <c r="NP33" s="15"/>
      <c r="NQ33" s="15"/>
      <c r="NR33" s="15"/>
      <c r="NS33" s="15"/>
      <c r="NT33" s="15"/>
      <c r="NU33" s="61">
        <f t="shared" si="126"/>
        <v>0</v>
      </c>
      <c r="NV33" s="66">
        <f t="shared" si="190"/>
        <v>0</v>
      </c>
      <c r="NW33" s="12">
        <f t="shared" si="209"/>
        <v>0</v>
      </c>
      <c r="NX33" s="12">
        <f t="shared" si="210"/>
        <v>0</v>
      </c>
      <c r="NY33" s="12">
        <f t="shared" si="211"/>
        <v>0</v>
      </c>
      <c r="NZ33" s="16">
        <f t="shared" si="212"/>
        <v>0</v>
      </c>
      <c r="OA33" s="59">
        <f t="shared" si="131"/>
        <v>0</v>
      </c>
      <c r="OB33" s="134"/>
      <c r="OC33" s="133"/>
      <c r="OD33" s="15"/>
      <c r="OE33" s="15"/>
      <c r="OF33" s="15"/>
      <c r="OG33" s="15"/>
      <c r="OH33" s="15"/>
      <c r="OI33" s="61">
        <f t="shared" si="163"/>
        <v>0</v>
      </c>
      <c r="OJ33" s="66">
        <f t="shared" si="132"/>
        <v>0</v>
      </c>
      <c r="OK33" s="12">
        <f t="shared" si="133"/>
        <v>0</v>
      </c>
      <c r="OL33" s="12">
        <f t="shared" si="134"/>
        <v>0</v>
      </c>
      <c r="OM33" s="12">
        <f t="shared" si="135"/>
        <v>0</v>
      </c>
      <c r="ON33" s="16">
        <f t="shared" si="136"/>
        <v>0</v>
      </c>
      <c r="OO33" s="59">
        <f t="shared" si="137"/>
        <v>0</v>
      </c>
      <c r="OP33" s="134"/>
      <c r="OQ33" s="133"/>
      <c r="OR33" s="15"/>
      <c r="OS33" s="15"/>
      <c r="OT33" s="15"/>
      <c r="OU33" s="15"/>
      <c r="OV33" s="15"/>
      <c r="OW33" s="61">
        <f t="shared" si="138"/>
        <v>0</v>
      </c>
      <c r="OX33" s="66">
        <f t="shared" si="139"/>
        <v>0</v>
      </c>
      <c r="OY33" s="12">
        <f t="shared" si="140"/>
        <v>0</v>
      </c>
      <c r="OZ33" s="12">
        <f t="shared" si="141"/>
        <v>0</v>
      </c>
      <c r="PA33" s="12">
        <f t="shared" si="142"/>
        <v>0</v>
      </c>
      <c r="PB33" s="16">
        <f t="shared" si="143"/>
        <v>0</v>
      </c>
      <c r="PC33" s="59">
        <f t="shared" si="144"/>
        <v>0</v>
      </c>
      <c r="PD33" s="134"/>
      <c r="PE33" s="133"/>
      <c r="PF33" s="15"/>
      <c r="PG33" s="15"/>
      <c r="PH33" s="15"/>
      <c r="PI33" s="15"/>
      <c r="PJ33" s="15"/>
      <c r="PK33" s="61">
        <f t="shared" si="145"/>
        <v>0</v>
      </c>
      <c r="PL33" s="66">
        <f t="shared" si="174"/>
        <v>0</v>
      </c>
      <c r="PM33" s="12">
        <f t="shared" si="175"/>
        <v>0</v>
      </c>
      <c r="PN33" s="12">
        <f t="shared" si="176"/>
        <v>0</v>
      </c>
      <c r="PO33" s="12">
        <f t="shared" si="177"/>
        <v>0</v>
      </c>
      <c r="PP33" s="16">
        <f t="shared" si="178"/>
        <v>0</v>
      </c>
      <c r="PQ33" s="59">
        <f t="shared" si="150"/>
        <v>0</v>
      </c>
      <c r="PS33" s="884">
        <f t="shared" si="151"/>
        <v>0</v>
      </c>
    </row>
    <row r="34" spans="2:435" x14ac:dyDescent="0.2">
      <c r="B34" s="24"/>
      <c r="C34" s="137" t="s">
        <v>11</v>
      </c>
      <c r="D34" s="26">
        <v>27000</v>
      </c>
      <c r="E34" s="42">
        <v>1</v>
      </c>
      <c r="F34" s="31"/>
      <c r="G34" s="12"/>
      <c r="H34" s="12"/>
      <c r="I34" s="12"/>
      <c r="J34" s="12">
        <v>0.75</v>
      </c>
      <c r="K34" s="12">
        <v>0.25</v>
      </c>
      <c r="L34" s="15"/>
      <c r="M34" s="61">
        <f t="shared" si="41"/>
        <v>0</v>
      </c>
      <c r="N34" s="31">
        <f t="shared" si="0"/>
        <v>0</v>
      </c>
      <c r="O34" s="12">
        <f t="shared" si="0"/>
        <v>0</v>
      </c>
      <c r="P34" s="12">
        <f t="shared" si="0"/>
        <v>0</v>
      </c>
      <c r="Q34" s="12">
        <f t="shared" si="0"/>
        <v>0</v>
      </c>
      <c r="R34" s="12">
        <f t="shared" si="0"/>
        <v>20250</v>
      </c>
      <c r="S34" s="12">
        <f t="shared" si="0"/>
        <v>6750</v>
      </c>
      <c r="T34" s="15">
        <f t="shared" si="0"/>
        <v>0</v>
      </c>
      <c r="U34" s="59">
        <f t="shared" si="191"/>
        <v>0</v>
      </c>
      <c r="V34" s="26">
        <v>57857.31</v>
      </c>
      <c r="W34" s="42">
        <v>1</v>
      </c>
      <c r="X34" s="31"/>
      <c r="Y34" s="12"/>
      <c r="Z34" s="12"/>
      <c r="AA34" s="12"/>
      <c r="AB34" s="12"/>
      <c r="AC34" s="12"/>
      <c r="AD34" s="15"/>
      <c r="AE34" s="15">
        <v>1</v>
      </c>
      <c r="AF34" s="61">
        <f t="shared" si="42"/>
        <v>0</v>
      </c>
      <c r="AG34" s="35">
        <f t="shared" si="43"/>
        <v>0</v>
      </c>
      <c r="AH34" s="35">
        <f t="shared" si="43"/>
        <v>0</v>
      </c>
      <c r="AI34" s="35">
        <f t="shared" si="43"/>
        <v>0</v>
      </c>
      <c r="AJ34" s="35">
        <f t="shared" si="43"/>
        <v>0</v>
      </c>
      <c r="AK34" s="35">
        <f t="shared" si="43"/>
        <v>0</v>
      </c>
      <c r="AL34" s="35">
        <f t="shared" si="43"/>
        <v>0</v>
      </c>
      <c r="AM34" s="35">
        <f t="shared" si="43"/>
        <v>0</v>
      </c>
      <c r="AN34" s="35">
        <f t="shared" si="43"/>
        <v>57857.31</v>
      </c>
      <c r="AO34" s="62">
        <f t="shared" si="44"/>
        <v>0</v>
      </c>
      <c r="AP34" s="26"/>
      <c r="AQ34" s="42"/>
      <c r="AR34" s="12"/>
      <c r="AS34" s="12"/>
      <c r="AT34" s="12"/>
      <c r="AU34" s="12"/>
      <c r="AV34" s="15"/>
      <c r="AW34" s="15"/>
      <c r="AX34" s="61">
        <f t="shared" si="45"/>
        <v>0</v>
      </c>
      <c r="AY34" s="35">
        <f t="shared" si="273"/>
        <v>0</v>
      </c>
      <c r="AZ34" s="35">
        <f t="shared" si="273"/>
        <v>0</v>
      </c>
      <c r="BA34" s="35">
        <f t="shared" si="273"/>
        <v>0</v>
      </c>
      <c r="BB34" s="35">
        <f t="shared" si="273"/>
        <v>0</v>
      </c>
      <c r="BC34" s="35">
        <f t="shared" si="273"/>
        <v>0</v>
      </c>
      <c r="BD34" s="34">
        <f t="shared" si="273"/>
        <v>0</v>
      </c>
      <c r="BE34" s="59">
        <f t="shared" si="46"/>
        <v>0</v>
      </c>
      <c r="BF34" s="26"/>
      <c r="BG34" s="42"/>
      <c r="BH34" s="12"/>
      <c r="BI34" s="12"/>
      <c r="BJ34" s="12"/>
      <c r="BK34" s="12"/>
      <c r="BL34" s="15"/>
      <c r="BM34" s="15"/>
      <c r="BN34" s="15"/>
      <c r="BO34" s="61">
        <f t="shared" si="3"/>
        <v>0</v>
      </c>
      <c r="BP34" s="65">
        <f t="shared" si="274"/>
        <v>0</v>
      </c>
      <c r="BQ34" s="33">
        <f t="shared" si="274"/>
        <v>0</v>
      </c>
      <c r="BR34" s="33">
        <f t="shared" si="274"/>
        <v>0</v>
      </c>
      <c r="BS34" s="33">
        <f t="shared" si="274"/>
        <v>0</v>
      </c>
      <c r="BT34" s="33">
        <f t="shared" si="274"/>
        <v>0</v>
      </c>
      <c r="BU34" s="33">
        <f t="shared" si="274"/>
        <v>0</v>
      </c>
      <c r="BV34" s="34">
        <f t="shared" si="274"/>
        <v>0</v>
      </c>
      <c r="BW34" s="59">
        <f t="shared" si="192"/>
        <v>0</v>
      </c>
      <c r="BX34" s="26"/>
      <c r="BY34" s="68"/>
      <c r="BZ34" s="31"/>
      <c r="CA34" s="12"/>
      <c r="CB34" s="12"/>
      <c r="CC34" s="12"/>
      <c r="CD34" s="15"/>
      <c r="CE34" s="15"/>
      <c r="CF34" s="15"/>
      <c r="CG34" s="61">
        <f t="shared" si="5"/>
        <v>0</v>
      </c>
      <c r="CH34" s="66">
        <f t="shared" si="47"/>
        <v>0</v>
      </c>
      <c r="CI34" s="12">
        <f t="shared" si="47"/>
        <v>0</v>
      </c>
      <c r="CJ34" s="12">
        <f t="shared" si="47"/>
        <v>0</v>
      </c>
      <c r="CK34" s="12">
        <f t="shared" si="47"/>
        <v>0</v>
      </c>
      <c r="CL34" s="12">
        <f t="shared" si="47"/>
        <v>0</v>
      </c>
      <c r="CM34" s="12">
        <f t="shared" si="47"/>
        <v>0</v>
      </c>
      <c r="CN34" s="16">
        <f t="shared" si="47"/>
        <v>0</v>
      </c>
      <c r="CO34" s="59">
        <f t="shared" si="193"/>
        <v>0</v>
      </c>
      <c r="CP34" s="26"/>
      <c r="CQ34" s="68"/>
      <c r="CR34" s="12"/>
      <c r="CS34" s="12"/>
      <c r="CT34" s="12"/>
      <c r="CU34" s="12"/>
      <c r="CV34" s="15"/>
      <c r="CW34" s="15"/>
      <c r="CX34" s="15"/>
      <c r="CY34" s="61">
        <f t="shared" si="7"/>
        <v>0</v>
      </c>
      <c r="CZ34" s="66">
        <f t="shared" si="194"/>
        <v>0</v>
      </c>
      <c r="DA34" s="12">
        <f t="shared" si="194"/>
        <v>0</v>
      </c>
      <c r="DB34" s="12">
        <f t="shared" si="194"/>
        <v>0</v>
      </c>
      <c r="DC34" s="12">
        <f t="shared" si="194"/>
        <v>0</v>
      </c>
      <c r="DD34" s="12">
        <f t="shared" si="194"/>
        <v>0</v>
      </c>
      <c r="DE34" s="12">
        <f t="shared" si="194"/>
        <v>0</v>
      </c>
      <c r="DF34" s="16">
        <f t="shared" si="194"/>
        <v>0</v>
      </c>
      <c r="DG34" s="59">
        <f t="shared" si="195"/>
        <v>0</v>
      </c>
      <c r="DH34" s="26"/>
      <c r="DI34" s="68"/>
      <c r="DJ34" s="12"/>
      <c r="DK34" s="12"/>
      <c r="DL34" s="12"/>
      <c r="DM34" s="12"/>
      <c r="DN34" s="15"/>
      <c r="DO34" s="15"/>
      <c r="DP34" s="15"/>
      <c r="DQ34" s="61">
        <f t="shared" si="9"/>
        <v>0</v>
      </c>
      <c r="DR34" s="66">
        <f t="shared" si="48"/>
        <v>0</v>
      </c>
      <c r="DS34" s="12">
        <f t="shared" si="48"/>
        <v>0</v>
      </c>
      <c r="DT34" s="12">
        <f t="shared" si="48"/>
        <v>0</v>
      </c>
      <c r="DU34" s="12">
        <f t="shared" si="48"/>
        <v>0</v>
      </c>
      <c r="DV34" s="12">
        <f t="shared" si="48"/>
        <v>0</v>
      </c>
      <c r="DW34" s="12">
        <f t="shared" si="48"/>
        <v>0</v>
      </c>
      <c r="DX34" s="16">
        <f t="shared" si="48"/>
        <v>0</v>
      </c>
      <c r="DY34" s="59">
        <f t="shared" si="196"/>
        <v>0</v>
      </c>
      <c r="DZ34" s="26"/>
      <c r="EA34" s="68"/>
      <c r="EB34" s="12"/>
      <c r="EC34" s="12"/>
      <c r="ED34" s="12"/>
      <c r="EE34" s="15"/>
      <c r="EF34" s="15"/>
      <c r="EG34" s="15"/>
      <c r="EH34" s="61">
        <f t="shared" si="197"/>
        <v>0</v>
      </c>
      <c r="EI34" s="66">
        <f t="shared" si="275"/>
        <v>0</v>
      </c>
      <c r="EJ34" s="12">
        <f t="shared" si="275"/>
        <v>0</v>
      </c>
      <c r="EK34" s="12">
        <f t="shared" si="275"/>
        <v>0</v>
      </c>
      <c r="EL34" s="12">
        <f t="shared" si="275"/>
        <v>0</v>
      </c>
      <c r="EM34" s="12">
        <f t="shared" si="275"/>
        <v>0</v>
      </c>
      <c r="EN34" s="16">
        <f t="shared" si="275"/>
        <v>0</v>
      </c>
      <c r="EO34" s="59">
        <f t="shared" si="198"/>
        <v>0</v>
      </c>
      <c r="EP34" s="26"/>
      <c r="EQ34" s="68"/>
      <c r="ER34" s="12"/>
      <c r="ES34" s="12"/>
      <c r="ET34" s="15"/>
      <c r="EU34" s="15"/>
      <c r="EV34" s="61">
        <f t="shared" si="199"/>
        <v>0</v>
      </c>
      <c r="EW34" s="66">
        <f t="shared" si="49"/>
        <v>0</v>
      </c>
      <c r="EX34" s="12">
        <f t="shared" si="49"/>
        <v>0</v>
      </c>
      <c r="EY34" s="12">
        <f t="shared" si="49"/>
        <v>0</v>
      </c>
      <c r="EZ34" s="16">
        <f t="shared" si="49"/>
        <v>0</v>
      </c>
      <c r="FA34" s="59">
        <f t="shared" si="200"/>
        <v>0</v>
      </c>
      <c r="FB34" s="26"/>
      <c r="FC34" s="68"/>
      <c r="FD34" s="12"/>
      <c r="FE34" s="15"/>
      <c r="FF34" s="15"/>
      <c r="FG34" s="61">
        <f t="shared" si="201"/>
        <v>0</v>
      </c>
      <c r="FH34" s="66">
        <f t="shared" si="50"/>
        <v>0</v>
      </c>
      <c r="FI34" s="12">
        <f t="shared" si="50"/>
        <v>0</v>
      </c>
      <c r="FJ34" s="16">
        <f t="shared" si="50"/>
        <v>0</v>
      </c>
      <c r="FK34" s="59">
        <f t="shared" si="202"/>
        <v>0</v>
      </c>
      <c r="FL34" s="26"/>
      <c r="FM34" s="68"/>
      <c r="FN34" s="12"/>
      <c r="FO34" s="15"/>
      <c r="FP34" s="15"/>
      <c r="FQ34" s="15"/>
      <c r="FR34" s="15"/>
      <c r="FS34" s="61">
        <f t="shared" si="203"/>
        <v>0</v>
      </c>
      <c r="FT34" s="66">
        <f t="shared" si="204"/>
        <v>0</v>
      </c>
      <c r="FU34" s="12">
        <f t="shared" si="205"/>
        <v>0</v>
      </c>
      <c r="FV34" s="12">
        <f t="shared" si="206"/>
        <v>0</v>
      </c>
      <c r="FW34" s="12">
        <f t="shared" si="207"/>
        <v>0</v>
      </c>
      <c r="FX34" s="16">
        <f t="shared" si="51"/>
        <v>0</v>
      </c>
      <c r="FY34" s="59">
        <f t="shared" si="52"/>
        <v>0</v>
      </c>
      <c r="FZ34" s="26"/>
      <c r="GA34" s="68"/>
      <c r="GB34" s="12"/>
      <c r="GC34" s="15"/>
      <c r="GD34" s="15"/>
      <c r="GE34" s="15"/>
      <c r="GF34" s="61">
        <f t="shared" si="208"/>
        <v>0</v>
      </c>
      <c r="GG34" s="66">
        <f t="shared" si="53"/>
        <v>0</v>
      </c>
      <c r="GH34" s="66">
        <f t="shared" si="12"/>
        <v>0</v>
      </c>
      <c r="GI34" s="12">
        <f t="shared" si="13"/>
        <v>0</v>
      </c>
      <c r="GJ34" s="12">
        <f t="shared" si="179"/>
        <v>0</v>
      </c>
      <c r="GK34" s="31">
        <f t="shared" si="14"/>
        <v>0</v>
      </c>
      <c r="GL34" s="123">
        <f t="shared" si="15"/>
        <v>0</v>
      </c>
      <c r="GM34" s="410">
        <f t="shared" si="16"/>
        <v>0</v>
      </c>
      <c r="GN34" s="414"/>
      <c r="GO34" s="68"/>
      <c r="GP34" s="12"/>
      <c r="GQ34" s="15"/>
      <c r="GR34" s="15"/>
      <c r="GS34" s="15"/>
      <c r="GT34" s="15"/>
      <c r="GU34" s="61">
        <f t="shared" si="54"/>
        <v>0</v>
      </c>
      <c r="GV34" s="66">
        <f t="shared" si="17"/>
        <v>0</v>
      </c>
      <c r="GW34" s="12">
        <f t="shared" si="18"/>
        <v>0</v>
      </c>
      <c r="GX34" s="12">
        <f t="shared" si="19"/>
        <v>0</v>
      </c>
      <c r="GY34" s="12">
        <f t="shared" si="20"/>
        <v>0</v>
      </c>
      <c r="GZ34" s="16">
        <f t="shared" si="21"/>
        <v>0</v>
      </c>
      <c r="HA34" s="59">
        <f t="shared" si="55"/>
        <v>0</v>
      </c>
      <c r="HB34" s="26"/>
      <c r="HC34" s="68"/>
      <c r="HD34" s="12"/>
      <c r="HE34" s="15"/>
      <c r="HF34" s="15"/>
      <c r="HG34" s="15"/>
      <c r="HH34" s="15"/>
      <c r="HI34" s="15"/>
      <c r="HJ34" s="15"/>
      <c r="HK34" s="15"/>
      <c r="HL34" s="61">
        <f t="shared" si="56"/>
        <v>0</v>
      </c>
      <c r="HM34" s="66">
        <f t="shared" si="22"/>
        <v>0</v>
      </c>
      <c r="HN34" s="12">
        <f t="shared" si="23"/>
        <v>0</v>
      </c>
      <c r="HO34" s="12">
        <f t="shared" si="24"/>
        <v>0</v>
      </c>
      <c r="HP34" s="12">
        <f t="shared" si="25"/>
        <v>0</v>
      </c>
      <c r="HQ34" s="12">
        <f t="shared" si="26"/>
        <v>0</v>
      </c>
      <c r="HR34" s="12">
        <f t="shared" si="27"/>
        <v>0</v>
      </c>
      <c r="HS34" s="12">
        <f t="shared" si="28"/>
        <v>0</v>
      </c>
      <c r="HT34" s="16">
        <f t="shared" si="29"/>
        <v>0</v>
      </c>
      <c r="HU34" s="59">
        <f t="shared" si="57"/>
        <v>0</v>
      </c>
      <c r="HV34" s="26"/>
      <c r="HW34" s="68"/>
      <c r="HX34" s="12"/>
      <c r="HY34" s="15"/>
      <c r="HZ34" s="61">
        <f t="shared" si="58"/>
        <v>0</v>
      </c>
      <c r="IA34" s="66">
        <f t="shared" si="59"/>
        <v>0</v>
      </c>
      <c r="IB34" s="16">
        <f t="shared" si="59"/>
        <v>0</v>
      </c>
      <c r="IC34" s="59">
        <f t="shared" si="60"/>
        <v>0</v>
      </c>
      <c r="ID34" s="26"/>
      <c r="IE34" s="68"/>
      <c r="IF34" s="12"/>
      <c r="IG34" s="15"/>
      <c r="IH34" s="15"/>
      <c r="II34" s="15"/>
      <c r="IJ34" s="15"/>
      <c r="IK34" s="15"/>
      <c r="IL34" s="15"/>
      <c r="IM34" s="15"/>
      <c r="IN34" s="15"/>
      <c r="IO34" s="61">
        <f t="shared" si="61"/>
        <v>0</v>
      </c>
      <c r="IP34" s="66">
        <f t="shared" si="62"/>
        <v>0</v>
      </c>
      <c r="IQ34" s="12">
        <f t="shared" si="63"/>
        <v>0</v>
      </c>
      <c r="IR34" s="12">
        <f t="shared" si="64"/>
        <v>0</v>
      </c>
      <c r="IS34" s="12">
        <f t="shared" si="65"/>
        <v>0</v>
      </c>
      <c r="IT34" s="12">
        <f t="shared" si="66"/>
        <v>0</v>
      </c>
      <c r="IU34" s="12">
        <f t="shared" si="67"/>
        <v>0</v>
      </c>
      <c r="IV34" s="12">
        <f t="shared" si="68"/>
        <v>0</v>
      </c>
      <c r="IW34" s="15">
        <f t="shared" si="69"/>
        <v>0</v>
      </c>
      <c r="IX34" s="16">
        <f t="shared" si="69"/>
        <v>0</v>
      </c>
      <c r="IY34" s="59">
        <f t="shared" si="70"/>
        <v>0</v>
      </c>
      <c r="IZ34" s="26"/>
      <c r="JA34" s="68"/>
      <c r="JB34" s="12"/>
      <c r="JC34" s="15"/>
      <c r="JD34" s="15"/>
      <c r="JE34" s="15"/>
      <c r="JF34" s="15"/>
      <c r="JG34" s="15"/>
      <c r="JH34" s="15"/>
      <c r="JI34" s="15"/>
      <c r="JJ34" s="15"/>
      <c r="JK34" s="61">
        <f t="shared" si="71"/>
        <v>0</v>
      </c>
      <c r="JL34" s="66">
        <f t="shared" si="72"/>
        <v>0</v>
      </c>
      <c r="JM34" s="12">
        <f t="shared" si="276"/>
        <v>0</v>
      </c>
      <c r="JN34" s="12">
        <f t="shared" si="277"/>
        <v>0</v>
      </c>
      <c r="JO34" s="12">
        <f t="shared" si="278"/>
        <v>0</v>
      </c>
      <c r="JP34" s="12">
        <f t="shared" si="279"/>
        <v>0</v>
      </c>
      <c r="JQ34" s="12">
        <f t="shared" si="280"/>
        <v>0</v>
      </c>
      <c r="JR34" s="12">
        <f t="shared" si="281"/>
        <v>0</v>
      </c>
      <c r="JS34" s="12">
        <f t="shared" si="282"/>
        <v>0</v>
      </c>
      <c r="JT34" s="16">
        <f t="shared" si="283"/>
        <v>0</v>
      </c>
      <c r="JU34" s="59">
        <f t="shared" si="81"/>
        <v>0</v>
      </c>
      <c r="JV34" s="26"/>
      <c r="JW34" s="68"/>
      <c r="JX34" s="12"/>
      <c r="JY34" s="12"/>
      <c r="JZ34" s="15"/>
      <c r="KA34" s="15"/>
      <c r="KB34" s="15"/>
      <c r="KC34" s="15"/>
      <c r="KD34" s="15"/>
      <c r="KE34" s="15"/>
      <c r="KF34" s="15"/>
      <c r="KG34" s="61">
        <f t="shared" si="82"/>
        <v>0</v>
      </c>
      <c r="KH34" s="146">
        <f t="shared" si="83"/>
        <v>0</v>
      </c>
      <c r="KI34" s="12">
        <f t="shared" si="83"/>
        <v>0</v>
      </c>
      <c r="KJ34" s="12">
        <f t="shared" si="84"/>
        <v>0</v>
      </c>
      <c r="KK34" s="12">
        <f t="shared" si="85"/>
        <v>0</v>
      </c>
      <c r="KL34" s="12">
        <f t="shared" si="86"/>
        <v>0</v>
      </c>
      <c r="KM34" s="12">
        <f t="shared" si="87"/>
        <v>0</v>
      </c>
      <c r="KN34" s="12">
        <f t="shared" si="88"/>
        <v>0</v>
      </c>
      <c r="KO34" s="12">
        <f t="shared" si="89"/>
        <v>0</v>
      </c>
      <c r="KP34" s="16">
        <f t="shared" si="90"/>
        <v>0</v>
      </c>
      <c r="KQ34" s="59">
        <f t="shared" si="91"/>
        <v>0</v>
      </c>
      <c r="KR34" s="26"/>
      <c r="KS34" s="68"/>
      <c r="KT34" s="12"/>
      <c r="KU34" s="15"/>
      <c r="KV34" s="15"/>
      <c r="KW34" s="15"/>
      <c r="KX34" s="15"/>
      <c r="KY34" s="15"/>
      <c r="KZ34" s="15"/>
      <c r="LA34" s="15"/>
      <c r="LB34" s="61">
        <f t="shared" si="92"/>
        <v>0</v>
      </c>
      <c r="LC34" s="66">
        <f t="shared" si="93"/>
        <v>0</v>
      </c>
      <c r="LD34" s="12">
        <f t="shared" si="94"/>
        <v>0</v>
      </c>
      <c r="LE34" s="12">
        <f t="shared" si="95"/>
        <v>0</v>
      </c>
      <c r="LF34" s="12">
        <f t="shared" si="96"/>
        <v>0</v>
      </c>
      <c r="LG34" s="12">
        <f t="shared" si="97"/>
        <v>0</v>
      </c>
      <c r="LH34" s="12">
        <f t="shared" si="98"/>
        <v>0</v>
      </c>
      <c r="LI34" s="12">
        <f t="shared" si="99"/>
        <v>0</v>
      </c>
      <c r="LJ34" s="16">
        <f t="shared" si="100"/>
        <v>0</v>
      </c>
      <c r="LK34" s="59">
        <f t="shared" si="101"/>
        <v>0</v>
      </c>
      <c r="LL34" s="26"/>
      <c r="LM34" s="68"/>
      <c r="LN34" s="15"/>
      <c r="LO34" s="15"/>
      <c r="LP34" s="15"/>
      <c r="LQ34" s="15"/>
      <c r="LR34" s="15"/>
      <c r="LS34" s="15"/>
      <c r="LT34" s="15"/>
      <c r="LU34" s="61">
        <f t="shared" si="102"/>
        <v>0</v>
      </c>
      <c r="LV34" s="66">
        <f t="shared" si="103"/>
        <v>0</v>
      </c>
      <c r="LW34" s="12">
        <f t="shared" si="104"/>
        <v>0</v>
      </c>
      <c r="LX34" s="12">
        <f t="shared" si="105"/>
        <v>0</v>
      </c>
      <c r="LY34" s="12">
        <f t="shared" si="106"/>
        <v>0</v>
      </c>
      <c r="LZ34" s="12">
        <f t="shared" si="107"/>
        <v>0</v>
      </c>
      <c r="MA34" s="12">
        <f t="shared" si="108"/>
        <v>0</v>
      </c>
      <c r="MB34" s="16">
        <f t="shared" si="109"/>
        <v>0</v>
      </c>
      <c r="MC34" s="59">
        <f t="shared" si="110"/>
        <v>0</v>
      </c>
      <c r="MD34" s="26"/>
      <c r="ME34" s="68"/>
      <c r="MF34" s="15"/>
      <c r="MG34" s="15"/>
      <c r="MH34" s="15"/>
      <c r="MI34" s="15"/>
      <c r="MJ34" s="15"/>
      <c r="MK34" s="15"/>
      <c r="ML34" s="15"/>
      <c r="MM34" s="61">
        <f t="shared" si="111"/>
        <v>0</v>
      </c>
      <c r="MN34" s="66">
        <f t="shared" si="112"/>
        <v>0</v>
      </c>
      <c r="MO34" s="12">
        <f t="shared" si="113"/>
        <v>0</v>
      </c>
      <c r="MP34" s="12">
        <f t="shared" si="114"/>
        <v>0</v>
      </c>
      <c r="MQ34" s="12">
        <f t="shared" si="115"/>
        <v>0</v>
      </c>
      <c r="MR34" s="12">
        <f t="shared" si="116"/>
        <v>0</v>
      </c>
      <c r="MS34" s="12">
        <f t="shared" si="116"/>
        <v>0</v>
      </c>
      <c r="MT34" s="16">
        <f t="shared" si="117"/>
        <v>0</v>
      </c>
      <c r="MU34" s="59">
        <f t="shared" si="189"/>
        <v>0</v>
      </c>
      <c r="MV34" s="621"/>
      <c r="MW34" s="619"/>
      <c r="MX34" s="15"/>
      <c r="MY34" s="15"/>
      <c r="MZ34" s="15"/>
      <c r="NA34" s="15"/>
      <c r="NB34" s="15"/>
      <c r="NC34" s="15"/>
      <c r="ND34" s="15"/>
      <c r="NE34" s="61">
        <f t="shared" si="118"/>
        <v>0</v>
      </c>
      <c r="NF34" s="66">
        <f t="shared" si="119"/>
        <v>0</v>
      </c>
      <c r="NG34" s="12">
        <f t="shared" si="120"/>
        <v>0</v>
      </c>
      <c r="NH34" s="12">
        <f t="shared" si="121"/>
        <v>0</v>
      </c>
      <c r="NI34" s="12">
        <f t="shared" si="122"/>
        <v>0</v>
      </c>
      <c r="NJ34" s="12">
        <f t="shared" si="123"/>
        <v>0</v>
      </c>
      <c r="NK34" s="12">
        <f t="shared" si="123"/>
        <v>0</v>
      </c>
      <c r="NL34" s="16">
        <f t="shared" si="124"/>
        <v>0</v>
      </c>
      <c r="NM34" s="59">
        <f t="shared" si="125"/>
        <v>0</v>
      </c>
      <c r="NN34" s="621"/>
      <c r="NO34" s="619"/>
      <c r="NP34" s="15"/>
      <c r="NQ34" s="15"/>
      <c r="NR34" s="15"/>
      <c r="NS34" s="15"/>
      <c r="NT34" s="15"/>
      <c r="NU34" s="61">
        <f t="shared" si="126"/>
        <v>0</v>
      </c>
      <c r="NV34" s="66">
        <f t="shared" si="190"/>
        <v>0</v>
      </c>
      <c r="NW34" s="12">
        <f t="shared" si="209"/>
        <v>0</v>
      </c>
      <c r="NX34" s="12">
        <f t="shared" si="210"/>
        <v>0</v>
      </c>
      <c r="NY34" s="12">
        <f t="shared" si="211"/>
        <v>0</v>
      </c>
      <c r="NZ34" s="16">
        <f t="shared" si="212"/>
        <v>0</v>
      </c>
      <c r="OA34" s="59">
        <f t="shared" si="131"/>
        <v>0</v>
      </c>
      <c r="OB34" s="135"/>
      <c r="OC34" s="133"/>
      <c r="OD34" s="15"/>
      <c r="OE34" s="15"/>
      <c r="OF34" s="15"/>
      <c r="OG34" s="15"/>
      <c r="OH34" s="15"/>
      <c r="OI34" s="61">
        <f t="shared" si="163"/>
        <v>0</v>
      </c>
      <c r="OJ34" s="66">
        <f t="shared" si="132"/>
        <v>0</v>
      </c>
      <c r="OK34" s="12">
        <f t="shared" si="133"/>
        <v>0</v>
      </c>
      <c r="OL34" s="12">
        <f t="shared" si="134"/>
        <v>0</v>
      </c>
      <c r="OM34" s="12">
        <f t="shared" si="135"/>
        <v>0</v>
      </c>
      <c r="ON34" s="16">
        <f t="shared" si="136"/>
        <v>0</v>
      </c>
      <c r="OO34" s="59">
        <f t="shared" si="137"/>
        <v>0</v>
      </c>
      <c r="OP34" s="135"/>
      <c r="OQ34" s="133"/>
      <c r="OR34" s="15"/>
      <c r="OS34" s="15"/>
      <c r="OT34" s="15"/>
      <c r="OU34" s="15"/>
      <c r="OV34" s="15"/>
      <c r="OW34" s="61">
        <f t="shared" si="138"/>
        <v>0</v>
      </c>
      <c r="OX34" s="66">
        <f t="shared" si="139"/>
        <v>0</v>
      </c>
      <c r="OY34" s="12">
        <f t="shared" si="140"/>
        <v>0</v>
      </c>
      <c r="OZ34" s="12">
        <f t="shared" si="141"/>
        <v>0</v>
      </c>
      <c r="PA34" s="12">
        <f t="shared" si="142"/>
        <v>0</v>
      </c>
      <c r="PB34" s="16">
        <f t="shared" si="143"/>
        <v>0</v>
      </c>
      <c r="PC34" s="59">
        <f t="shared" si="144"/>
        <v>0</v>
      </c>
      <c r="PD34" s="135"/>
      <c r="PE34" s="133"/>
      <c r="PF34" s="15"/>
      <c r="PG34" s="15"/>
      <c r="PH34" s="15"/>
      <c r="PI34" s="15"/>
      <c r="PJ34" s="15"/>
      <c r="PK34" s="61">
        <f t="shared" si="145"/>
        <v>0</v>
      </c>
      <c r="PL34" s="66">
        <f t="shared" si="174"/>
        <v>0</v>
      </c>
      <c r="PM34" s="12">
        <f t="shared" si="175"/>
        <v>0</v>
      </c>
      <c r="PN34" s="12">
        <f t="shared" si="176"/>
        <v>0</v>
      </c>
      <c r="PO34" s="12">
        <f t="shared" si="177"/>
        <v>0</v>
      </c>
      <c r="PP34" s="16">
        <f t="shared" si="178"/>
        <v>0</v>
      </c>
      <c r="PQ34" s="59">
        <f t="shared" si="150"/>
        <v>0</v>
      </c>
      <c r="PS34" s="884">
        <f t="shared" si="151"/>
        <v>0</v>
      </c>
    </row>
    <row r="35" spans="2:435" x14ac:dyDescent="0.2">
      <c r="B35" s="24">
        <v>24</v>
      </c>
      <c r="C35" s="25" t="s">
        <v>209</v>
      </c>
      <c r="D35" s="26"/>
      <c r="E35" s="42"/>
      <c r="F35" s="31"/>
      <c r="G35" s="12"/>
      <c r="H35" s="12"/>
      <c r="I35" s="12"/>
      <c r="J35" s="12"/>
      <c r="K35" s="12"/>
      <c r="L35" s="15"/>
      <c r="M35" s="61"/>
      <c r="N35" s="31"/>
      <c r="O35" s="12"/>
      <c r="P35" s="12"/>
      <c r="Q35" s="12"/>
      <c r="R35" s="12"/>
      <c r="S35" s="12"/>
      <c r="T35" s="15"/>
      <c r="U35" s="59"/>
      <c r="V35" s="26"/>
      <c r="W35" s="42"/>
      <c r="X35" s="31"/>
      <c r="Y35" s="12"/>
      <c r="Z35" s="12"/>
      <c r="AA35" s="12"/>
      <c r="AB35" s="12"/>
      <c r="AC35" s="12"/>
      <c r="AD35" s="15"/>
      <c r="AE35" s="15"/>
      <c r="AF35" s="61"/>
      <c r="AG35" s="35"/>
      <c r="AH35" s="35"/>
      <c r="AI35" s="35"/>
      <c r="AJ35" s="35"/>
      <c r="AK35" s="35"/>
      <c r="AL35" s="35"/>
      <c r="AM35" s="35"/>
      <c r="AN35" s="35"/>
      <c r="AO35" s="62"/>
      <c r="AP35" s="26"/>
      <c r="AQ35" s="42"/>
      <c r="AR35" s="12"/>
      <c r="AS35" s="12"/>
      <c r="AT35" s="12"/>
      <c r="AU35" s="12"/>
      <c r="AV35" s="15"/>
      <c r="AW35" s="15"/>
      <c r="AX35" s="61"/>
      <c r="AY35" s="35"/>
      <c r="AZ35" s="35"/>
      <c r="BA35" s="35"/>
      <c r="BB35" s="35"/>
      <c r="BC35" s="35"/>
      <c r="BD35" s="34"/>
      <c r="BE35" s="59"/>
      <c r="BF35" s="26"/>
      <c r="BG35" s="42"/>
      <c r="BH35" s="12"/>
      <c r="BI35" s="12"/>
      <c r="BJ35" s="12"/>
      <c r="BK35" s="12"/>
      <c r="BL35" s="15"/>
      <c r="BM35" s="15"/>
      <c r="BN35" s="15"/>
      <c r="BO35" s="61"/>
      <c r="BP35" s="65"/>
      <c r="BQ35" s="33"/>
      <c r="BR35" s="33"/>
      <c r="BS35" s="33"/>
      <c r="BT35" s="33"/>
      <c r="BU35" s="33"/>
      <c r="BV35" s="34"/>
      <c r="BW35" s="59"/>
      <c r="BX35" s="69"/>
      <c r="BY35" s="68"/>
      <c r="BZ35" s="31"/>
      <c r="CA35" s="12"/>
      <c r="CB35" s="12"/>
      <c r="CC35" s="12"/>
      <c r="CD35" s="15"/>
      <c r="CE35" s="15"/>
      <c r="CF35" s="15"/>
      <c r="CG35" s="61"/>
      <c r="CH35" s="66"/>
      <c r="CI35" s="12"/>
      <c r="CJ35" s="12"/>
      <c r="CK35" s="12"/>
      <c r="CL35" s="12"/>
      <c r="CM35" s="12"/>
      <c r="CN35" s="16"/>
      <c r="CO35" s="59"/>
      <c r="CP35" s="69"/>
      <c r="CQ35" s="68"/>
      <c r="CR35" s="12"/>
      <c r="CS35" s="12"/>
      <c r="CT35" s="12"/>
      <c r="CU35" s="12"/>
      <c r="CV35" s="15"/>
      <c r="CW35" s="15"/>
      <c r="CX35" s="15"/>
      <c r="CY35" s="61"/>
      <c r="CZ35" s="66"/>
      <c r="DA35" s="12"/>
      <c r="DB35" s="12"/>
      <c r="DC35" s="12"/>
      <c r="DD35" s="12"/>
      <c r="DE35" s="12"/>
      <c r="DF35" s="16"/>
      <c r="DG35" s="59"/>
      <c r="DH35" s="69"/>
      <c r="DI35" s="68"/>
      <c r="DJ35" s="12"/>
      <c r="DK35" s="12"/>
      <c r="DL35" s="12"/>
      <c r="DM35" s="12"/>
      <c r="DN35" s="15"/>
      <c r="DO35" s="15"/>
      <c r="DP35" s="15"/>
      <c r="DQ35" s="61"/>
      <c r="DR35" s="66"/>
      <c r="DS35" s="12"/>
      <c r="DT35" s="12"/>
      <c r="DU35" s="12"/>
      <c r="DV35" s="12"/>
      <c r="DW35" s="12"/>
      <c r="DX35" s="16"/>
      <c r="DY35" s="59"/>
      <c r="DZ35" s="69"/>
      <c r="EA35" s="68"/>
      <c r="EB35" s="12"/>
      <c r="EC35" s="12"/>
      <c r="ED35" s="12"/>
      <c r="EE35" s="15"/>
      <c r="EF35" s="15"/>
      <c r="EG35" s="15"/>
      <c r="EH35" s="61"/>
      <c r="EI35" s="66"/>
      <c r="EJ35" s="12"/>
      <c r="EK35" s="12"/>
      <c r="EL35" s="12"/>
      <c r="EM35" s="12"/>
      <c r="EN35" s="16"/>
      <c r="EO35" s="59"/>
      <c r="EP35" s="69"/>
      <c r="EQ35" s="68"/>
      <c r="ER35" s="12"/>
      <c r="ES35" s="12"/>
      <c r="ET35" s="15"/>
      <c r="EU35" s="15"/>
      <c r="EV35" s="61"/>
      <c r="EW35" s="66"/>
      <c r="EX35" s="12"/>
      <c r="EY35" s="12"/>
      <c r="EZ35" s="16"/>
      <c r="FA35" s="59"/>
      <c r="FB35" s="69"/>
      <c r="FC35" s="68"/>
      <c r="FD35" s="12"/>
      <c r="FE35" s="15"/>
      <c r="FF35" s="15"/>
      <c r="FG35" s="61"/>
      <c r="FH35" s="66"/>
      <c r="FI35" s="12"/>
      <c r="FJ35" s="16"/>
      <c r="FK35" s="59"/>
      <c r="FL35" s="69"/>
      <c r="FM35" s="68"/>
      <c r="FN35" s="12"/>
      <c r="FO35" s="15"/>
      <c r="FP35" s="15"/>
      <c r="FQ35" s="15"/>
      <c r="FR35" s="15"/>
      <c r="FS35" s="61"/>
      <c r="FT35" s="66"/>
      <c r="FU35" s="12"/>
      <c r="FV35" s="12"/>
      <c r="FW35" s="12"/>
      <c r="FX35" s="16"/>
      <c r="FY35" s="59"/>
      <c r="FZ35" s="69"/>
      <c r="GA35" s="68"/>
      <c r="GB35" s="12"/>
      <c r="GC35" s="15"/>
      <c r="GD35" s="15"/>
      <c r="GE35" s="15"/>
      <c r="GF35" s="61"/>
      <c r="GG35" s="66"/>
      <c r="GH35" s="66"/>
      <c r="GI35" s="12"/>
      <c r="GJ35" s="12">
        <f>IF($GA35&lt;&gt;0,GC35*$FZ35/$GA35,0)</f>
        <v>0</v>
      </c>
      <c r="GK35" s="31"/>
      <c r="GL35" s="123"/>
      <c r="GM35" s="410"/>
      <c r="GN35" s="414"/>
      <c r="GO35" s="68"/>
      <c r="GP35" s="12"/>
      <c r="GQ35" s="15"/>
      <c r="GR35" s="15"/>
      <c r="GS35" s="15"/>
      <c r="GT35" s="15"/>
      <c r="GU35" s="61"/>
      <c r="GV35" s="66"/>
      <c r="GW35" s="12"/>
      <c r="GX35" s="12"/>
      <c r="GY35" s="12"/>
      <c r="GZ35" s="16"/>
      <c r="HA35" s="59"/>
      <c r="HB35" s="69"/>
      <c r="HC35" s="68"/>
      <c r="HD35" s="12"/>
      <c r="HE35" s="15"/>
      <c r="HF35" s="15"/>
      <c r="HG35" s="15"/>
      <c r="HH35" s="15"/>
      <c r="HI35" s="15"/>
      <c r="HJ35" s="15"/>
      <c r="HK35" s="15"/>
      <c r="HL35" s="61"/>
      <c r="HM35" s="66"/>
      <c r="HN35" s="12"/>
      <c r="HO35" s="12"/>
      <c r="HP35" s="12"/>
      <c r="HQ35" s="12"/>
      <c r="HR35" s="12"/>
      <c r="HS35" s="12"/>
      <c r="HT35" s="16"/>
      <c r="HU35" s="59"/>
      <c r="HV35" s="69"/>
      <c r="HW35" s="68"/>
      <c r="HX35" s="12"/>
      <c r="HY35" s="15"/>
      <c r="HZ35" s="61"/>
      <c r="IA35" s="66"/>
      <c r="IB35" s="16"/>
      <c r="IC35" s="59"/>
      <c r="ID35" s="69"/>
      <c r="IE35" s="68"/>
      <c r="IF35" s="12"/>
      <c r="IG35" s="15"/>
      <c r="IH35" s="15"/>
      <c r="II35" s="15"/>
      <c r="IJ35" s="15"/>
      <c r="IK35" s="15"/>
      <c r="IL35" s="15"/>
      <c r="IM35" s="15"/>
      <c r="IN35" s="15"/>
      <c r="IO35" s="61"/>
      <c r="IP35" s="66"/>
      <c r="IQ35" s="12"/>
      <c r="IR35" s="12"/>
      <c r="IS35" s="12"/>
      <c r="IT35" s="12"/>
      <c r="IU35" s="12"/>
      <c r="IV35" s="12"/>
      <c r="IW35" s="15"/>
      <c r="IX35" s="16"/>
      <c r="IY35" s="59"/>
      <c r="IZ35" s="69"/>
      <c r="JA35" s="68"/>
      <c r="JB35" s="12"/>
      <c r="JC35" s="15"/>
      <c r="JD35" s="15"/>
      <c r="JE35" s="15"/>
      <c r="JF35" s="15"/>
      <c r="JG35" s="15"/>
      <c r="JH35" s="15"/>
      <c r="JI35" s="15"/>
      <c r="JJ35" s="15"/>
      <c r="JK35" s="61"/>
      <c r="JL35" s="66"/>
      <c r="JM35" s="12">
        <f>IF($JA35&lt;&gt;0,JC35*$IZ35/$JA35,0)</f>
        <v>0</v>
      </c>
      <c r="JN35" s="12"/>
      <c r="JO35" s="12"/>
      <c r="JP35" s="12"/>
      <c r="JQ35" s="12"/>
      <c r="JR35" s="12"/>
      <c r="JS35" s="12"/>
      <c r="JT35" s="16"/>
      <c r="JU35" s="59">
        <f>IZ35-JL35-JM35-JN35-JO35-JP35-JQ35-JR35-JS35-JT35</f>
        <v>0</v>
      </c>
      <c r="JV35" s="69"/>
      <c r="JW35" s="68"/>
      <c r="JX35" s="12"/>
      <c r="JY35" s="12"/>
      <c r="JZ35" s="15"/>
      <c r="KA35" s="15"/>
      <c r="KB35" s="15"/>
      <c r="KC35" s="15"/>
      <c r="KD35" s="15"/>
      <c r="KE35" s="15"/>
      <c r="KF35" s="15"/>
      <c r="KG35" s="61">
        <f>JW35-JX35-JZ35-KA35-KB35-KC35-KD35-KE35-KF35-JY35</f>
        <v>0</v>
      </c>
      <c r="KH35" s="146">
        <f t="shared" ref="KH35:KP35" si="284">IF($JW35&lt;&gt;0,JX35*$JV35/$JW35,0)</f>
        <v>0</v>
      </c>
      <c r="KI35" s="12">
        <f t="shared" si="284"/>
        <v>0</v>
      </c>
      <c r="KJ35" s="12">
        <f t="shared" si="284"/>
        <v>0</v>
      </c>
      <c r="KK35" s="12">
        <f t="shared" si="284"/>
        <v>0</v>
      </c>
      <c r="KL35" s="12">
        <f t="shared" si="284"/>
        <v>0</v>
      </c>
      <c r="KM35" s="12">
        <f t="shared" si="284"/>
        <v>0</v>
      </c>
      <c r="KN35" s="12">
        <f t="shared" si="284"/>
        <v>0</v>
      </c>
      <c r="KO35" s="12">
        <f t="shared" si="284"/>
        <v>0</v>
      </c>
      <c r="KP35" s="16">
        <f t="shared" si="284"/>
        <v>0</v>
      </c>
      <c r="KQ35" s="59">
        <f>JV35-KH35-KJ35-KK35-KL35-KM35-KN35-KO35-KP35-KI35</f>
        <v>0</v>
      </c>
      <c r="KR35" s="69">
        <v>18000</v>
      </c>
      <c r="KS35" s="68">
        <f>17/30*0.5</f>
        <v>0.28000000000000003</v>
      </c>
      <c r="KT35" s="12"/>
      <c r="KU35" s="15"/>
      <c r="KV35" s="15"/>
      <c r="KW35" s="15"/>
      <c r="KX35" s="15"/>
      <c r="KY35" s="15"/>
      <c r="KZ35" s="15">
        <v>0.25</v>
      </c>
      <c r="LA35" s="15"/>
      <c r="LB35" s="61">
        <f>KS35-KT35-KU35-KV35-KW35-KX35-KY35-KZ35-LA35</f>
        <v>0.03</v>
      </c>
      <c r="LC35" s="66">
        <f t="shared" ref="LC35:LJ35" si="285">IF($KS35&lt;&gt;0,KT35*$KR35/$KS35,0)</f>
        <v>0</v>
      </c>
      <c r="LD35" s="12">
        <f t="shared" si="285"/>
        <v>0</v>
      </c>
      <c r="LE35" s="12">
        <f t="shared" si="285"/>
        <v>0</v>
      </c>
      <c r="LF35" s="12">
        <f t="shared" si="285"/>
        <v>0</v>
      </c>
      <c r="LG35" s="12">
        <f t="shared" si="285"/>
        <v>0</v>
      </c>
      <c r="LH35" s="12">
        <f t="shared" si="285"/>
        <v>0</v>
      </c>
      <c r="LI35" s="12">
        <f t="shared" si="285"/>
        <v>16071.43</v>
      </c>
      <c r="LJ35" s="16">
        <f t="shared" si="285"/>
        <v>0</v>
      </c>
      <c r="LK35" s="59">
        <f>KR35-LC35-LD35-LE35-LF35-LG35-LH35-LI35-LJ35</f>
        <v>1928.57</v>
      </c>
      <c r="LL35" s="69">
        <v>33000</v>
      </c>
      <c r="LM35" s="68">
        <v>0.5</v>
      </c>
      <c r="LN35" s="15"/>
      <c r="LO35" s="15"/>
      <c r="LP35" s="15"/>
      <c r="LQ35" s="15"/>
      <c r="LR35" s="15">
        <v>0.5</v>
      </c>
      <c r="LS35" s="15"/>
      <c r="LT35" s="15"/>
      <c r="LU35" s="61">
        <f>LM35-LN35-LO35-LP35-LQ35-LR35-LS35-LT35</f>
        <v>0</v>
      </c>
      <c r="LV35" s="66">
        <f t="shared" ref="LV35:MB35" si="286">IF($LM35&lt;&gt;0,LN35*$LL35/$LM35,0)</f>
        <v>0</v>
      </c>
      <c r="LW35" s="12">
        <f t="shared" si="286"/>
        <v>0</v>
      </c>
      <c r="LX35" s="12">
        <f t="shared" si="286"/>
        <v>0</v>
      </c>
      <c r="LY35" s="12">
        <f t="shared" si="286"/>
        <v>0</v>
      </c>
      <c r="LZ35" s="12">
        <f t="shared" si="286"/>
        <v>33000</v>
      </c>
      <c r="MA35" s="12">
        <f t="shared" si="286"/>
        <v>0</v>
      </c>
      <c r="MB35" s="16">
        <f t="shared" si="286"/>
        <v>0</v>
      </c>
      <c r="MC35" s="59">
        <f>LL35-LV35-LW35-LX35-LY35-LZ35-MA35-MB35</f>
        <v>0</v>
      </c>
      <c r="MD35" s="69">
        <v>16500</v>
      </c>
      <c r="ME35" s="68">
        <v>0.5</v>
      </c>
      <c r="MF35" s="15"/>
      <c r="MG35" s="15"/>
      <c r="MH35" s="15"/>
      <c r="MI35" s="15">
        <v>0.5</v>
      </c>
      <c r="MJ35" s="15"/>
      <c r="MK35" s="15"/>
      <c r="ML35" s="15"/>
      <c r="MM35" s="61">
        <f t="shared" si="111"/>
        <v>0</v>
      </c>
      <c r="MN35" s="66">
        <f t="shared" ref="MN35:MT35" si="287">IF($ME35&lt;&gt;0,MF35*$MD35/$ME35,0)</f>
        <v>0</v>
      </c>
      <c r="MO35" s="12">
        <f t="shared" si="287"/>
        <v>0</v>
      </c>
      <c r="MP35" s="12">
        <f t="shared" si="287"/>
        <v>0</v>
      </c>
      <c r="MQ35" s="12">
        <f t="shared" si="287"/>
        <v>16500</v>
      </c>
      <c r="MR35" s="12">
        <f t="shared" si="287"/>
        <v>0</v>
      </c>
      <c r="MS35" s="12">
        <f t="shared" si="287"/>
        <v>0</v>
      </c>
      <c r="MT35" s="16">
        <f t="shared" si="287"/>
        <v>0</v>
      </c>
      <c r="MU35" s="59">
        <f t="shared" si="189"/>
        <v>0</v>
      </c>
      <c r="MV35" s="620">
        <v>16500</v>
      </c>
      <c r="MW35" s="619">
        <v>0.5</v>
      </c>
      <c r="MX35" s="15"/>
      <c r="MY35" s="15"/>
      <c r="MZ35" s="15"/>
      <c r="NA35" s="15">
        <v>0.3</v>
      </c>
      <c r="NB35" s="15"/>
      <c r="NC35" s="15"/>
      <c r="ND35" s="15"/>
      <c r="NE35" s="61">
        <f t="shared" si="118"/>
        <v>0.2</v>
      </c>
      <c r="NF35" s="66">
        <f t="shared" ref="NF35:NL35" si="288">IF($MW35&lt;&gt;0,MX35*$MV35/$MW35,0)</f>
        <v>0</v>
      </c>
      <c r="NG35" s="12">
        <f t="shared" si="288"/>
        <v>0</v>
      </c>
      <c r="NH35" s="12">
        <f t="shared" si="288"/>
        <v>0</v>
      </c>
      <c r="NI35" s="12">
        <f t="shared" si="288"/>
        <v>9900</v>
      </c>
      <c r="NJ35" s="12">
        <f t="shared" si="288"/>
        <v>0</v>
      </c>
      <c r="NK35" s="12">
        <f t="shared" si="288"/>
        <v>0</v>
      </c>
      <c r="NL35" s="16">
        <f t="shared" si="288"/>
        <v>0</v>
      </c>
      <c r="NM35" s="59">
        <f t="shared" si="125"/>
        <v>6600</v>
      </c>
      <c r="NN35" s="620">
        <v>16500</v>
      </c>
      <c r="NO35" s="619">
        <v>0.5</v>
      </c>
      <c r="NP35" s="15"/>
      <c r="NQ35" s="15"/>
      <c r="NR35" s="15"/>
      <c r="NS35" s="15"/>
      <c r="NT35" s="15"/>
      <c r="NU35" s="61">
        <f t="shared" si="126"/>
        <v>0.5</v>
      </c>
      <c r="NV35" s="66">
        <f t="shared" si="190"/>
        <v>0</v>
      </c>
      <c r="NW35" s="12">
        <f t="shared" si="209"/>
        <v>0</v>
      </c>
      <c r="NX35" s="12">
        <f t="shared" si="210"/>
        <v>0</v>
      </c>
      <c r="NY35" s="12">
        <f t="shared" si="211"/>
        <v>0</v>
      </c>
      <c r="NZ35" s="16">
        <f t="shared" si="212"/>
        <v>0</v>
      </c>
      <c r="OA35" s="59">
        <f t="shared" si="131"/>
        <v>16500</v>
      </c>
      <c r="OB35" s="134">
        <v>16500</v>
      </c>
      <c r="OC35" s="133">
        <v>0.5</v>
      </c>
      <c r="OD35" s="15"/>
      <c r="OE35" s="15"/>
      <c r="OF35" s="15"/>
      <c r="OG35" s="15"/>
      <c r="OH35" s="15"/>
      <c r="OI35" s="61">
        <f t="shared" si="163"/>
        <v>0.5</v>
      </c>
      <c r="OJ35" s="66">
        <f t="shared" si="132"/>
        <v>0</v>
      </c>
      <c r="OK35" s="12">
        <f t="shared" si="133"/>
        <v>0</v>
      </c>
      <c r="OL35" s="12">
        <f t="shared" si="134"/>
        <v>0</v>
      </c>
      <c r="OM35" s="12">
        <f t="shared" si="135"/>
        <v>0</v>
      </c>
      <c r="ON35" s="16">
        <f t="shared" si="136"/>
        <v>0</v>
      </c>
      <c r="OO35" s="59">
        <f t="shared" si="137"/>
        <v>16500</v>
      </c>
      <c r="OP35" s="134">
        <v>16500</v>
      </c>
      <c r="OQ35" s="133">
        <v>0.5</v>
      </c>
      <c r="OR35" s="15"/>
      <c r="OS35" s="15"/>
      <c r="OT35" s="15"/>
      <c r="OU35" s="15"/>
      <c r="OV35" s="15"/>
      <c r="OW35" s="61">
        <f t="shared" si="138"/>
        <v>0.5</v>
      </c>
      <c r="OX35" s="66">
        <f t="shared" si="139"/>
        <v>0</v>
      </c>
      <c r="OY35" s="12">
        <f t="shared" si="140"/>
        <v>0</v>
      </c>
      <c r="OZ35" s="12">
        <f t="shared" si="141"/>
        <v>0</v>
      </c>
      <c r="PA35" s="12">
        <f t="shared" si="142"/>
        <v>0</v>
      </c>
      <c r="PB35" s="16">
        <f t="shared" si="143"/>
        <v>0</v>
      </c>
      <c r="PC35" s="59">
        <f t="shared" si="144"/>
        <v>16500</v>
      </c>
      <c r="PD35" s="134">
        <v>16500</v>
      </c>
      <c r="PE35" s="133">
        <v>0.5</v>
      </c>
      <c r="PF35" s="15"/>
      <c r="PG35" s="15"/>
      <c r="PH35" s="15"/>
      <c r="PI35" s="15"/>
      <c r="PJ35" s="15"/>
      <c r="PK35" s="61">
        <f t="shared" si="145"/>
        <v>0.5</v>
      </c>
      <c r="PL35" s="66">
        <f t="shared" si="174"/>
        <v>0</v>
      </c>
      <c r="PM35" s="12">
        <f t="shared" si="175"/>
        <v>0</v>
      </c>
      <c r="PN35" s="12">
        <f t="shared" si="176"/>
        <v>0</v>
      </c>
      <c r="PO35" s="12">
        <f t="shared" si="177"/>
        <v>0</v>
      </c>
      <c r="PP35" s="16">
        <f t="shared" si="178"/>
        <v>0</v>
      </c>
      <c r="PQ35" s="59">
        <f t="shared" si="150"/>
        <v>16500</v>
      </c>
      <c r="PS35" s="884">
        <f t="shared" si="151"/>
        <v>0</v>
      </c>
    </row>
    <row r="36" spans="2:435" x14ac:dyDescent="0.2">
      <c r="B36" s="24">
        <v>25</v>
      </c>
      <c r="C36" s="25" t="s">
        <v>12</v>
      </c>
      <c r="D36" s="26">
        <v>66000</v>
      </c>
      <c r="E36" s="42">
        <v>1</v>
      </c>
      <c r="F36" s="31">
        <v>0.5</v>
      </c>
      <c r="G36" s="12">
        <v>0.1</v>
      </c>
      <c r="H36" s="12"/>
      <c r="I36" s="12">
        <v>0.1</v>
      </c>
      <c r="J36" s="12">
        <v>0.1</v>
      </c>
      <c r="K36" s="12">
        <v>0.1</v>
      </c>
      <c r="L36" s="15">
        <v>0.1</v>
      </c>
      <c r="M36" s="61">
        <f t="shared" si="41"/>
        <v>0</v>
      </c>
      <c r="N36" s="31">
        <f t="shared" si="0"/>
        <v>33000</v>
      </c>
      <c r="O36" s="12">
        <f t="shared" si="0"/>
        <v>6600</v>
      </c>
      <c r="P36" s="12">
        <f t="shared" si="0"/>
        <v>0</v>
      </c>
      <c r="Q36" s="12">
        <f t="shared" si="0"/>
        <v>6600</v>
      </c>
      <c r="R36" s="12">
        <f t="shared" si="0"/>
        <v>6600</v>
      </c>
      <c r="S36" s="12">
        <f t="shared" si="0"/>
        <v>6600</v>
      </c>
      <c r="T36" s="15">
        <f t="shared" si="0"/>
        <v>6600</v>
      </c>
      <c r="U36" s="59">
        <f t="shared" si="191"/>
        <v>0</v>
      </c>
      <c r="V36" s="26">
        <v>77000</v>
      </c>
      <c r="W36" s="42">
        <v>1</v>
      </c>
      <c r="X36" s="31"/>
      <c r="Y36" s="12"/>
      <c r="Z36" s="12"/>
      <c r="AA36" s="12"/>
      <c r="AB36" s="12"/>
      <c r="AC36" s="12">
        <v>0.3</v>
      </c>
      <c r="AD36" s="15">
        <v>0.45</v>
      </c>
      <c r="AE36" s="15">
        <v>0.25</v>
      </c>
      <c r="AF36" s="61">
        <f t="shared" si="42"/>
        <v>0</v>
      </c>
      <c r="AG36" s="35">
        <f t="shared" si="43"/>
        <v>0</v>
      </c>
      <c r="AH36" s="35">
        <f t="shared" si="43"/>
        <v>0</v>
      </c>
      <c r="AI36" s="35">
        <f t="shared" si="43"/>
        <v>0</v>
      </c>
      <c r="AJ36" s="35">
        <f t="shared" si="43"/>
        <v>0</v>
      </c>
      <c r="AK36" s="35">
        <f t="shared" si="43"/>
        <v>0</v>
      </c>
      <c r="AL36" s="35">
        <f t="shared" si="43"/>
        <v>23100</v>
      </c>
      <c r="AM36" s="35">
        <f t="shared" si="43"/>
        <v>34650</v>
      </c>
      <c r="AN36" s="35">
        <f t="shared" si="43"/>
        <v>19250</v>
      </c>
      <c r="AO36" s="62">
        <f t="shared" si="44"/>
        <v>0</v>
      </c>
      <c r="AP36" s="26">
        <v>77000</v>
      </c>
      <c r="AQ36" s="42">
        <v>1</v>
      </c>
      <c r="AR36" s="12">
        <v>0.1</v>
      </c>
      <c r="AS36" s="12"/>
      <c r="AT36" s="12">
        <v>0.1</v>
      </c>
      <c r="AU36" s="12">
        <v>0.25</v>
      </c>
      <c r="AV36" s="15"/>
      <c r="AW36" s="15">
        <v>0.55000000000000004</v>
      </c>
      <c r="AX36" s="61">
        <f t="shared" si="45"/>
        <v>0</v>
      </c>
      <c r="AY36" s="35">
        <f t="shared" si="273"/>
        <v>7700</v>
      </c>
      <c r="AZ36" s="35">
        <f t="shared" si="273"/>
        <v>0</v>
      </c>
      <c r="BA36" s="35">
        <f t="shared" si="273"/>
        <v>7700</v>
      </c>
      <c r="BB36" s="35">
        <f t="shared" si="273"/>
        <v>19250</v>
      </c>
      <c r="BC36" s="35">
        <f t="shared" si="273"/>
        <v>0</v>
      </c>
      <c r="BD36" s="34">
        <f t="shared" si="273"/>
        <v>42350</v>
      </c>
      <c r="BE36" s="59">
        <f t="shared" si="46"/>
        <v>0</v>
      </c>
      <c r="BF36" s="26">
        <v>77000</v>
      </c>
      <c r="BG36" s="42">
        <v>1</v>
      </c>
      <c r="BH36" s="12"/>
      <c r="BI36" s="12"/>
      <c r="BJ36" s="12">
        <v>0.1</v>
      </c>
      <c r="BK36" s="12">
        <v>0.4</v>
      </c>
      <c r="BL36" s="15">
        <v>0.2</v>
      </c>
      <c r="BM36" s="15"/>
      <c r="BN36" s="15">
        <v>0.3</v>
      </c>
      <c r="BO36" s="61">
        <f t="shared" si="3"/>
        <v>0</v>
      </c>
      <c r="BP36" s="65">
        <f t="shared" si="274"/>
        <v>0</v>
      </c>
      <c r="BQ36" s="33">
        <f t="shared" si="274"/>
        <v>0</v>
      </c>
      <c r="BR36" s="33">
        <f t="shared" si="274"/>
        <v>7700</v>
      </c>
      <c r="BS36" s="33">
        <f t="shared" si="274"/>
        <v>30800</v>
      </c>
      <c r="BT36" s="33">
        <f t="shared" si="274"/>
        <v>15400</v>
      </c>
      <c r="BU36" s="33">
        <f t="shared" si="274"/>
        <v>0</v>
      </c>
      <c r="BV36" s="34">
        <f t="shared" si="274"/>
        <v>23100</v>
      </c>
      <c r="BW36" s="59">
        <f t="shared" si="192"/>
        <v>0</v>
      </c>
      <c r="BX36" s="69">
        <v>74676.88</v>
      </c>
      <c r="BY36" s="68">
        <v>1</v>
      </c>
      <c r="BZ36" s="31"/>
      <c r="CA36" s="12"/>
      <c r="CB36" s="12">
        <v>0.2</v>
      </c>
      <c r="CC36" s="12">
        <v>0.3</v>
      </c>
      <c r="CD36" s="15">
        <v>0.2</v>
      </c>
      <c r="CE36" s="15"/>
      <c r="CF36" s="15">
        <v>0.3</v>
      </c>
      <c r="CG36" s="61">
        <f t="shared" si="5"/>
        <v>0</v>
      </c>
      <c r="CH36" s="66">
        <f t="shared" si="47"/>
        <v>0</v>
      </c>
      <c r="CI36" s="12">
        <f t="shared" si="47"/>
        <v>0</v>
      </c>
      <c r="CJ36" s="12">
        <f t="shared" si="47"/>
        <v>14935.38</v>
      </c>
      <c r="CK36" s="12">
        <f t="shared" si="47"/>
        <v>22403.06</v>
      </c>
      <c r="CL36" s="12">
        <f t="shared" si="47"/>
        <v>14935.38</v>
      </c>
      <c r="CM36" s="12">
        <f t="shared" si="47"/>
        <v>0</v>
      </c>
      <c r="CN36" s="16">
        <f t="shared" si="47"/>
        <v>22403.06</v>
      </c>
      <c r="CO36" s="59">
        <f t="shared" si="193"/>
        <v>0</v>
      </c>
      <c r="CP36" s="69">
        <f>66000+11692.2</f>
        <v>77692.2</v>
      </c>
      <c r="CQ36" s="68">
        <v>1</v>
      </c>
      <c r="CR36" s="12">
        <v>0.1</v>
      </c>
      <c r="CS36" s="12"/>
      <c r="CT36" s="12">
        <v>0.1</v>
      </c>
      <c r="CU36" s="12">
        <v>0.2</v>
      </c>
      <c r="CV36" s="15">
        <v>0.2</v>
      </c>
      <c r="CW36" s="15"/>
      <c r="CX36" s="15">
        <v>0.4</v>
      </c>
      <c r="CY36" s="61">
        <f t="shared" si="7"/>
        <v>0</v>
      </c>
      <c r="CZ36" s="66">
        <f t="shared" si="194"/>
        <v>7769.22</v>
      </c>
      <c r="DA36" s="12">
        <f t="shared" si="194"/>
        <v>0</v>
      </c>
      <c r="DB36" s="12">
        <f t="shared" si="194"/>
        <v>7769.22</v>
      </c>
      <c r="DC36" s="12">
        <f t="shared" si="194"/>
        <v>15538.44</v>
      </c>
      <c r="DD36" s="12">
        <f t="shared" si="194"/>
        <v>15538.44</v>
      </c>
      <c r="DE36" s="12">
        <f t="shared" si="194"/>
        <v>0</v>
      </c>
      <c r="DF36" s="16">
        <f t="shared" si="194"/>
        <v>31076.880000000001</v>
      </c>
      <c r="DG36" s="59">
        <f t="shared" si="195"/>
        <v>0</v>
      </c>
      <c r="DH36" s="69">
        <v>77000</v>
      </c>
      <c r="DI36" s="68">
        <v>1</v>
      </c>
      <c r="DJ36" s="12"/>
      <c r="DK36" s="12"/>
      <c r="DL36" s="12">
        <v>0.1</v>
      </c>
      <c r="DM36" s="12">
        <v>0.2</v>
      </c>
      <c r="DN36" s="15">
        <v>0.2</v>
      </c>
      <c r="DO36" s="15"/>
      <c r="DP36" s="15">
        <v>0.5</v>
      </c>
      <c r="DQ36" s="61">
        <f t="shared" si="9"/>
        <v>0</v>
      </c>
      <c r="DR36" s="66">
        <f t="shared" si="48"/>
        <v>0</v>
      </c>
      <c r="DS36" s="12">
        <f t="shared" si="48"/>
        <v>0</v>
      </c>
      <c r="DT36" s="12">
        <f t="shared" si="48"/>
        <v>7700</v>
      </c>
      <c r="DU36" s="12">
        <f t="shared" si="48"/>
        <v>15400</v>
      </c>
      <c r="DV36" s="12">
        <f t="shared" si="48"/>
        <v>15400</v>
      </c>
      <c r="DW36" s="12">
        <f t="shared" si="48"/>
        <v>0</v>
      </c>
      <c r="DX36" s="16">
        <f t="shared" si="48"/>
        <v>38500</v>
      </c>
      <c r="DY36" s="59">
        <f t="shared" si="196"/>
        <v>0</v>
      </c>
      <c r="DZ36" s="69">
        <f>70304.34+4855.5</f>
        <v>75159.839999999997</v>
      </c>
      <c r="EA36" s="68">
        <v>1</v>
      </c>
      <c r="EB36" s="12"/>
      <c r="EC36" s="12"/>
      <c r="ED36" s="12">
        <v>0.2</v>
      </c>
      <c r="EE36" s="15">
        <v>0.2</v>
      </c>
      <c r="EF36" s="15">
        <v>0.3</v>
      </c>
      <c r="EG36" s="15">
        <v>0.3</v>
      </c>
      <c r="EH36" s="61">
        <f t="shared" si="197"/>
        <v>0</v>
      </c>
      <c r="EI36" s="66">
        <f t="shared" si="275"/>
        <v>0</v>
      </c>
      <c r="EJ36" s="12">
        <f t="shared" si="275"/>
        <v>0</v>
      </c>
      <c r="EK36" s="12">
        <f t="shared" si="275"/>
        <v>15031.97</v>
      </c>
      <c r="EL36" s="12">
        <f t="shared" si="275"/>
        <v>15031.97</v>
      </c>
      <c r="EM36" s="12">
        <f t="shared" si="275"/>
        <v>22547.95</v>
      </c>
      <c r="EN36" s="16">
        <f>IF($EA36&lt;&gt;0,EG36*$DZ36/$EA36,0)</f>
        <v>22547.95</v>
      </c>
      <c r="EO36" s="59">
        <f t="shared" si="198"/>
        <v>0</v>
      </c>
      <c r="EP36" s="69">
        <f>49000.45+29133</f>
        <v>78133.45</v>
      </c>
      <c r="EQ36" s="68">
        <v>1</v>
      </c>
      <c r="ER36" s="12"/>
      <c r="ES36" s="12"/>
      <c r="ET36" s="15">
        <v>0.6</v>
      </c>
      <c r="EU36" s="15">
        <v>0.4</v>
      </c>
      <c r="EV36" s="61">
        <f t="shared" si="199"/>
        <v>0</v>
      </c>
      <c r="EW36" s="66">
        <f t="shared" si="49"/>
        <v>0</v>
      </c>
      <c r="EX36" s="12">
        <f t="shared" si="49"/>
        <v>0</v>
      </c>
      <c r="EY36" s="12">
        <f t="shared" si="49"/>
        <v>46880.07</v>
      </c>
      <c r="EZ36" s="16">
        <f>IF($EQ36&lt;&gt;0,EU36*$EP36/$EQ36,0)</f>
        <v>31253.38</v>
      </c>
      <c r="FA36" s="59">
        <f t="shared" si="200"/>
        <v>0</v>
      </c>
      <c r="FB36" s="69">
        <v>77000</v>
      </c>
      <c r="FC36" s="68">
        <v>1</v>
      </c>
      <c r="FD36" s="12">
        <v>0.7</v>
      </c>
      <c r="FE36" s="15"/>
      <c r="FF36" s="15">
        <v>0.3</v>
      </c>
      <c r="FG36" s="61">
        <f t="shared" si="201"/>
        <v>0</v>
      </c>
      <c r="FH36" s="66">
        <f t="shared" si="50"/>
        <v>53900</v>
      </c>
      <c r="FI36" s="12">
        <f t="shared" si="50"/>
        <v>0</v>
      </c>
      <c r="FJ36" s="16">
        <f t="shared" si="50"/>
        <v>23100</v>
      </c>
      <c r="FK36" s="59">
        <f t="shared" si="202"/>
        <v>0</v>
      </c>
      <c r="FL36" s="69">
        <v>77000</v>
      </c>
      <c r="FM36" s="68">
        <v>1</v>
      </c>
      <c r="FN36" s="12">
        <v>0.45</v>
      </c>
      <c r="FO36" s="15"/>
      <c r="FP36" s="15"/>
      <c r="FQ36" s="15">
        <v>0.25</v>
      </c>
      <c r="FR36" s="15">
        <v>0.3</v>
      </c>
      <c r="FS36" s="61">
        <f t="shared" si="203"/>
        <v>0</v>
      </c>
      <c r="FT36" s="66">
        <f t="shared" si="204"/>
        <v>34650</v>
      </c>
      <c r="FU36" s="12">
        <f t="shared" si="205"/>
        <v>0</v>
      </c>
      <c r="FV36" s="12">
        <f t="shared" si="206"/>
        <v>0</v>
      </c>
      <c r="FW36" s="12">
        <f t="shared" si="207"/>
        <v>19250</v>
      </c>
      <c r="FX36" s="16">
        <f t="shared" si="51"/>
        <v>23100</v>
      </c>
      <c r="FY36" s="59">
        <f t="shared" si="52"/>
        <v>0</v>
      </c>
      <c r="FZ36" s="69">
        <f>77000*3+46000</f>
        <v>277000</v>
      </c>
      <c r="GA36" s="68">
        <v>1</v>
      </c>
      <c r="GB36" s="12">
        <v>1</v>
      </c>
      <c r="GC36" s="15"/>
      <c r="GD36" s="15"/>
      <c r="GE36" s="15"/>
      <c r="GF36" s="61">
        <f t="shared" si="208"/>
        <v>0</v>
      </c>
      <c r="GG36" s="66">
        <f t="shared" si="53"/>
        <v>277000</v>
      </c>
      <c r="GH36" s="120">
        <f>IF($GA36&lt;&gt;0,GB36*($FZ36-200000)/$GA36,0)-7870.61</f>
        <v>69129.39</v>
      </c>
      <c r="GI36" s="12">
        <f t="shared" ref="GI36:GI67" si="289">IF($GA36&lt;&gt;0,GC36*$FZ36/$GA36,0)</f>
        <v>0</v>
      </c>
      <c r="GJ36" s="12">
        <f t="shared" si="179"/>
        <v>0</v>
      </c>
      <c r="GK36" s="31">
        <f t="shared" ref="GK36:GK67" si="290">IF($GA36&lt;&gt;0,GD36*$FZ36/$GA36,0)</f>
        <v>0</v>
      </c>
      <c r="GL36" s="123">
        <f t="shared" ref="GL36:GL67" si="291">IF($GA36&lt;&gt;0,GE36*$FZ36/$GA36,0)</f>
        <v>0</v>
      </c>
      <c r="GM36" s="410">
        <f t="shared" si="16"/>
        <v>0</v>
      </c>
      <c r="GN36" s="414">
        <f>77000</f>
        <v>77000</v>
      </c>
      <c r="GO36" s="68">
        <v>1</v>
      </c>
      <c r="GP36" s="12">
        <v>0.5</v>
      </c>
      <c r="GQ36" s="15">
        <v>0.5</v>
      </c>
      <c r="GR36" s="15"/>
      <c r="GS36" s="15"/>
      <c r="GT36" s="15"/>
      <c r="GU36" s="61">
        <f t="shared" si="54"/>
        <v>0</v>
      </c>
      <c r="GV36" s="66">
        <f t="shared" si="17"/>
        <v>38500</v>
      </c>
      <c r="GW36" s="12">
        <f t="shared" si="18"/>
        <v>38500</v>
      </c>
      <c r="GX36" s="12">
        <f t="shared" si="19"/>
        <v>0</v>
      </c>
      <c r="GY36" s="12">
        <f t="shared" si="20"/>
        <v>0</v>
      </c>
      <c r="GZ36" s="16">
        <f t="shared" si="21"/>
        <v>0</v>
      </c>
      <c r="HA36" s="59">
        <f t="shared" si="55"/>
        <v>0</v>
      </c>
      <c r="HB36" s="69">
        <v>99000</v>
      </c>
      <c r="HC36" s="68">
        <v>1</v>
      </c>
      <c r="HD36" s="12"/>
      <c r="HE36" s="15"/>
      <c r="HF36" s="15">
        <v>0.1</v>
      </c>
      <c r="HG36" s="15"/>
      <c r="HH36" s="15">
        <v>0.2</v>
      </c>
      <c r="HI36" s="15">
        <v>0.3</v>
      </c>
      <c r="HJ36" s="15">
        <v>0.1</v>
      </c>
      <c r="HK36" s="15">
        <v>0.3</v>
      </c>
      <c r="HL36" s="61">
        <f t="shared" si="56"/>
        <v>0</v>
      </c>
      <c r="HM36" s="66">
        <f t="shared" si="22"/>
        <v>0</v>
      </c>
      <c r="HN36" s="12">
        <f t="shared" si="23"/>
        <v>0</v>
      </c>
      <c r="HO36" s="12">
        <f t="shared" si="24"/>
        <v>9900</v>
      </c>
      <c r="HP36" s="12">
        <f t="shared" si="25"/>
        <v>0</v>
      </c>
      <c r="HQ36" s="12">
        <f t="shared" si="26"/>
        <v>19800</v>
      </c>
      <c r="HR36" s="12">
        <f t="shared" si="27"/>
        <v>29700</v>
      </c>
      <c r="HS36" s="12">
        <f t="shared" si="28"/>
        <v>9900</v>
      </c>
      <c r="HT36" s="16">
        <f t="shared" si="29"/>
        <v>29700</v>
      </c>
      <c r="HU36" s="59">
        <f t="shared" si="57"/>
        <v>0</v>
      </c>
      <c r="HV36" s="69">
        <f>77000</f>
        <v>77000</v>
      </c>
      <c r="HW36" s="68">
        <v>1</v>
      </c>
      <c r="HX36" s="12"/>
      <c r="HY36" s="15"/>
      <c r="HZ36" s="61">
        <f t="shared" si="58"/>
        <v>1</v>
      </c>
      <c r="IA36" s="66">
        <f t="shared" si="59"/>
        <v>0</v>
      </c>
      <c r="IB36" s="16">
        <f t="shared" si="59"/>
        <v>0</v>
      </c>
      <c r="IC36" s="59">
        <f t="shared" si="60"/>
        <v>77000</v>
      </c>
      <c r="ID36" s="69">
        <v>99000</v>
      </c>
      <c r="IE36" s="68">
        <v>1</v>
      </c>
      <c r="IF36" s="12"/>
      <c r="IG36" s="15">
        <v>0.3</v>
      </c>
      <c r="IH36" s="15">
        <v>0.2</v>
      </c>
      <c r="II36" s="15"/>
      <c r="IJ36" s="15">
        <v>0.2</v>
      </c>
      <c r="IK36" s="15">
        <v>0.2</v>
      </c>
      <c r="IL36" s="15">
        <v>0.1</v>
      </c>
      <c r="IM36" s="15"/>
      <c r="IN36" s="15"/>
      <c r="IO36" s="61">
        <f t="shared" si="61"/>
        <v>0</v>
      </c>
      <c r="IP36" s="66">
        <f t="shared" si="62"/>
        <v>0</v>
      </c>
      <c r="IQ36" s="12">
        <f t="shared" si="63"/>
        <v>29700</v>
      </c>
      <c r="IR36" s="12">
        <f t="shared" si="64"/>
        <v>19800</v>
      </c>
      <c r="IS36" s="12">
        <f t="shared" si="65"/>
        <v>0</v>
      </c>
      <c r="IT36" s="12">
        <f t="shared" si="66"/>
        <v>19800</v>
      </c>
      <c r="IU36" s="12">
        <f t="shared" si="67"/>
        <v>19800</v>
      </c>
      <c r="IV36" s="12">
        <f t="shared" si="68"/>
        <v>9900</v>
      </c>
      <c r="IW36" s="15">
        <f t="shared" si="69"/>
        <v>0</v>
      </c>
      <c r="IX36" s="16">
        <f t="shared" si="69"/>
        <v>0</v>
      </c>
      <c r="IY36" s="59">
        <f t="shared" si="70"/>
        <v>0</v>
      </c>
      <c r="IZ36" s="69">
        <v>99000</v>
      </c>
      <c r="JA36" s="68">
        <v>1</v>
      </c>
      <c r="JB36" s="12">
        <v>0.25</v>
      </c>
      <c r="JC36" s="15"/>
      <c r="JD36" s="15">
        <v>0.1</v>
      </c>
      <c r="JE36" s="15"/>
      <c r="JF36" s="15">
        <v>0.2</v>
      </c>
      <c r="JG36" s="15">
        <v>0.2</v>
      </c>
      <c r="JH36" s="15">
        <v>0.1</v>
      </c>
      <c r="JI36" s="15"/>
      <c r="JJ36" s="15">
        <v>0.15</v>
      </c>
      <c r="JK36" s="61">
        <f t="shared" si="71"/>
        <v>0</v>
      </c>
      <c r="JL36" s="66">
        <f t="shared" si="72"/>
        <v>24750</v>
      </c>
      <c r="JM36" s="12">
        <f t="shared" si="276"/>
        <v>0</v>
      </c>
      <c r="JN36" s="12">
        <f t="shared" si="277"/>
        <v>9900</v>
      </c>
      <c r="JO36" s="12">
        <f t="shared" si="278"/>
        <v>0</v>
      </c>
      <c r="JP36" s="12">
        <f t="shared" si="279"/>
        <v>19800</v>
      </c>
      <c r="JQ36" s="12">
        <f t="shared" si="280"/>
        <v>19800</v>
      </c>
      <c r="JR36" s="12">
        <f t="shared" si="281"/>
        <v>9900</v>
      </c>
      <c r="JS36" s="12">
        <f t="shared" si="282"/>
        <v>0</v>
      </c>
      <c r="JT36" s="16">
        <f t="shared" si="283"/>
        <v>14850</v>
      </c>
      <c r="JU36" s="59">
        <f t="shared" si="81"/>
        <v>0</v>
      </c>
      <c r="JV36" s="69">
        <v>99000</v>
      </c>
      <c r="JW36" s="68">
        <v>1</v>
      </c>
      <c r="JX36" s="12"/>
      <c r="JY36" s="12">
        <v>0.25</v>
      </c>
      <c r="JZ36" s="15">
        <v>0.1</v>
      </c>
      <c r="KA36" s="15"/>
      <c r="KB36" s="15">
        <v>0.2</v>
      </c>
      <c r="KC36" s="15">
        <v>0.2</v>
      </c>
      <c r="KD36" s="15">
        <v>0.1</v>
      </c>
      <c r="KE36" s="15"/>
      <c r="KF36" s="15">
        <v>0.15</v>
      </c>
      <c r="KG36" s="61">
        <f t="shared" si="82"/>
        <v>0</v>
      </c>
      <c r="KH36" s="146">
        <f t="shared" si="83"/>
        <v>0</v>
      </c>
      <c r="KI36" s="12">
        <f t="shared" si="83"/>
        <v>24750</v>
      </c>
      <c r="KJ36" s="12">
        <f t="shared" si="84"/>
        <v>9900</v>
      </c>
      <c r="KK36" s="12">
        <f t="shared" si="85"/>
        <v>0</v>
      </c>
      <c r="KL36" s="12">
        <f t="shared" si="86"/>
        <v>19800</v>
      </c>
      <c r="KM36" s="12">
        <f t="shared" si="87"/>
        <v>19800</v>
      </c>
      <c r="KN36" s="12">
        <f t="shared" si="88"/>
        <v>9900</v>
      </c>
      <c r="KO36" s="12">
        <f t="shared" si="89"/>
        <v>0</v>
      </c>
      <c r="KP36" s="16">
        <f t="shared" si="90"/>
        <v>14850</v>
      </c>
      <c r="KQ36" s="59">
        <f t="shared" si="91"/>
        <v>0</v>
      </c>
      <c r="KR36" s="69">
        <v>96016.62</v>
      </c>
      <c r="KS36" s="68">
        <v>1</v>
      </c>
      <c r="KT36" s="12">
        <v>0.25</v>
      </c>
      <c r="KU36" s="15">
        <v>0.1</v>
      </c>
      <c r="KV36" s="15">
        <v>0.25</v>
      </c>
      <c r="KW36" s="15">
        <v>0.2</v>
      </c>
      <c r="KX36" s="15">
        <v>0.1</v>
      </c>
      <c r="KY36" s="15">
        <v>0.1</v>
      </c>
      <c r="KZ36" s="15"/>
      <c r="LA36" s="15"/>
      <c r="LB36" s="61">
        <f t="shared" si="92"/>
        <v>0</v>
      </c>
      <c r="LC36" s="66">
        <f t="shared" si="93"/>
        <v>24004.16</v>
      </c>
      <c r="LD36" s="12">
        <f t="shared" si="94"/>
        <v>9601.66</v>
      </c>
      <c r="LE36" s="12">
        <f t="shared" si="95"/>
        <v>24004.16</v>
      </c>
      <c r="LF36" s="12">
        <f t="shared" si="96"/>
        <v>19203.32</v>
      </c>
      <c r="LG36" s="12">
        <f t="shared" si="97"/>
        <v>9601.66</v>
      </c>
      <c r="LH36" s="12">
        <f t="shared" si="98"/>
        <v>9601.66</v>
      </c>
      <c r="LI36" s="12">
        <f t="shared" si="99"/>
        <v>0</v>
      </c>
      <c r="LJ36" s="16">
        <f t="shared" si="100"/>
        <v>0</v>
      </c>
      <c r="LK36" s="59">
        <f t="shared" si="101"/>
        <v>0</v>
      </c>
      <c r="LL36" s="69">
        <v>99000</v>
      </c>
      <c r="LM36" s="68">
        <v>1</v>
      </c>
      <c r="LN36" s="15">
        <v>0.1</v>
      </c>
      <c r="LO36" s="15">
        <v>0.25</v>
      </c>
      <c r="LP36" s="15">
        <v>0.3</v>
      </c>
      <c r="LQ36" s="15">
        <v>0.2</v>
      </c>
      <c r="LR36" s="15">
        <v>0.1</v>
      </c>
      <c r="LS36" s="15"/>
      <c r="LT36" s="15">
        <v>0.05</v>
      </c>
      <c r="LU36" s="61">
        <f t="shared" si="102"/>
        <v>0</v>
      </c>
      <c r="LV36" s="66">
        <f t="shared" si="103"/>
        <v>9900</v>
      </c>
      <c r="LW36" s="12">
        <f t="shared" si="104"/>
        <v>24750</v>
      </c>
      <c r="LX36" s="12">
        <f t="shared" si="105"/>
        <v>29700</v>
      </c>
      <c r="LY36" s="12">
        <f t="shared" si="106"/>
        <v>19800</v>
      </c>
      <c r="LZ36" s="12">
        <f t="shared" si="107"/>
        <v>9900</v>
      </c>
      <c r="MA36" s="12">
        <f t="shared" si="108"/>
        <v>0</v>
      </c>
      <c r="MB36" s="16">
        <f t="shared" si="109"/>
        <v>4950</v>
      </c>
      <c r="MC36" s="59">
        <f t="shared" si="110"/>
        <v>0</v>
      </c>
      <c r="MD36" s="69">
        <v>105856.45</v>
      </c>
      <c r="ME36" s="68">
        <v>1</v>
      </c>
      <c r="MF36" s="15">
        <v>0.1</v>
      </c>
      <c r="MG36" s="15">
        <v>0.2</v>
      </c>
      <c r="MH36" s="15">
        <v>0.2</v>
      </c>
      <c r="MI36" s="15">
        <v>0.2</v>
      </c>
      <c r="MJ36" s="15">
        <v>0.15</v>
      </c>
      <c r="MK36" s="15">
        <v>0.15</v>
      </c>
      <c r="ML36" s="15"/>
      <c r="MM36" s="61">
        <f t="shared" si="111"/>
        <v>0</v>
      </c>
      <c r="MN36" s="66">
        <f t="shared" si="112"/>
        <v>10585.65</v>
      </c>
      <c r="MO36" s="12">
        <f t="shared" si="113"/>
        <v>21171.29</v>
      </c>
      <c r="MP36" s="12">
        <f t="shared" si="114"/>
        <v>21171.29</v>
      </c>
      <c r="MQ36" s="12">
        <f t="shared" si="115"/>
        <v>21171.29</v>
      </c>
      <c r="MR36" s="12">
        <f t="shared" si="116"/>
        <v>15878.47</v>
      </c>
      <c r="MS36" s="12">
        <f t="shared" si="116"/>
        <v>15878.47</v>
      </c>
      <c r="MT36" s="16">
        <f t="shared" si="117"/>
        <v>0</v>
      </c>
      <c r="MU36" s="59">
        <f t="shared" si="189"/>
        <v>-0.01</v>
      </c>
      <c r="MV36" s="620">
        <v>99000</v>
      </c>
      <c r="MW36" s="619">
        <v>1</v>
      </c>
      <c r="MX36" s="15"/>
      <c r="MY36" s="15">
        <v>0.2</v>
      </c>
      <c r="MZ36" s="15">
        <v>0.2</v>
      </c>
      <c r="NA36" s="15">
        <v>0.2</v>
      </c>
      <c r="NB36" s="15"/>
      <c r="NC36" s="15"/>
      <c r="ND36" s="15">
        <v>0.05</v>
      </c>
      <c r="NE36" s="61">
        <f t="shared" si="118"/>
        <v>0.35</v>
      </c>
      <c r="NF36" s="66">
        <f t="shared" si="119"/>
        <v>0</v>
      </c>
      <c r="NG36" s="12">
        <f t="shared" si="120"/>
        <v>19800</v>
      </c>
      <c r="NH36" s="12">
        <f t="shared" si="121"/>
        <v>19800</v>
      </c>
      <c r="NI36" s="12">
        <f t="shared" si="122"/>
        <v>19800</v>
      </c>
      <c r="NJ36" s="12">
        <f t="shared" si="123"/>
        <v>0</v>
      </c>
      <c r="NK36" s="12">
        <f t="shared" si="123"/>
        <v>0</v>
      </c>
      <c r="NL36" s="16">
        <f t="shared" si="124"/>
        <v>4950</v>
      </c>
      <c r="NM36" s="59">
        <f t="shared" si="125"/>
        <v>34650</v>
      </c>
      <c r="NN36" s="620">
        <v>104500</v>
      </c>
      <c r="NO36" s="619">
        <v>1</v>
      </c>
      <c r="NP36" s="15"/>
      <c r="NQ36" s="15">
        <v>0.5</v>
      </c>
      <c r="NR36" s="15"/>
      <c r="NS36" s="15"/>
      <c r="NT36" s="15"/>
      <c r="NU36" s="61">
        <f t="shared" si="126"/>
        <v>0.5</v>
      </c>
      <c r="NV36" s="66">
        <f t="shared" si="190"/>
        <v>0</v>
      </c>
      <c r="NW36" s="12">
        <f>IF($NO36&lt;&gt;0,NQ36*$NN36/$NO36,0)</f>
        <v>52250</v>
      </c>
      <c r="NX36" s="12">
        <f t="shared" si="210"/>
        <v>0</v>
      </c>
      <c r="NY36" s="12">
        <f t="shared" si="211"/>
        <v>0</v>
      </c>
      <c r="NZ36" s="16">
        <f t="shared" si="212"/>
        <v>0</v>
      </c>
      <c r="OA36" s="59">
        <f t="shared" si="131"/>
        <v>52250</v>
      </c>
      <c r="OB36" s="134">
        <v>109597.85</v>
      </c>
      <c r="OC36" s="133">
        <v>1</v>
      </c>
      <c r="OD36" s="15"/>
      <c r="OE36" s="15">
        <v>0.55000000000000004</v>
      </c>
      <c r="OF36" s="15"/>
      <c r="OG36" s="15"/>
      <c r="OH36" s="15"/>
      <c r="OI36" s="61">
        <f t="shared" si="163"/>
        <v>0.45</v>
      </c>
      <c r="OJ36" s="66">
        <f t="shared" si="132"/>
        <v>0</v>
      </c>
      <c r="OK36" s="12">
        <f>IF($OC36&lt;&gt;0,OE36*$OB36/$OC36,0)</f>
        <v>60278.82</v>
      </c>
      <c r="OL36" s="12">
        <f t="shared" si="134"/>
        <v>0</v>
      </c>
      <c r="OM36" s="12">
        <f t="shared" si="135"/>
        <v>0</v>
      </c>
      <c r="ON36" s="16">
        <f t="shared" si="136"/>
        <v>0</v>
      </c>
      <c r="OO36" s="59">
        <f t="shared" si="137"/>
        <v>49319.03</v>
      </c>
      <c r="OP36" s="134">
        <v>104500</v>
      </c>
      <c r="OQ36" s="133">
        <v>1</v>
      </c>
      <c r="OR36" s="15"/>
      <c r="OS36" s="15">
        <v>0.5</v>
      </c>
      <c r="OT36" s="15"/>
      <c r="OU36" s="15"/>
      <c r="OV36" s="15"/>
      <c r="OW36" s="61">
        <f t="shared" si="138"/>
        <v>0.5</v>
      </c>
      <c r="OX36" s="66">
        <f t="shared" si="139"/>
        <v>0</v>
      </c>
      <c r="OY36" s="142">
        <f>IF($OQ36&lt;&gt;0,OS36*$OP36/$OQ36,0)-2459.81</f>
        <v>49790.19</v>
      </c>
      <c r="OZ36" s="12">
        <f t="shared" si="141"/>
        <v>0</v>
      </c>
      <c r="PA36" s="12">
        <f t="shared" si="142"/>
        <v>0</v>
      </c>
      <c r="PB36" s="16">
        <f t="shared" si="143"/>
        <v>0</v>
      </c>
      <c r="PC36" s="59">
        <f t="shared" si="144"/>
        <v>54709.81</v>
      </c>
      <c r="PD36" s="134">
        <v>104500</v>
      </c>
      <c r="PE36" s="133">
        <v>1</v>
      </c>
      <c r="PF36" s="15"/>
      <c r="PG36" s="15"/>
      <c r="PH36" s="15"/>
      <c r="PI36" s="15"/>
      <c r="PJ36" s="15"/>
      <c r="PK36" s="61">
        <f t="shared" si="145"/>
        <v>1</v>
      </c>
      <c r="PL36" s="66">
        <f t="shared" si="174"/>
        <v>0</v>
      </c>
      <c r="PM36" s="12">
        <f t="shared" si="175"/>
        <v>0</v>
      </c>
      <c r="PN36" s="12">
        <f t="shared" si="176"/>
        <v>0</v>
      </c>
      <c r="PO36" s="12">
        <f t="shared" si="177"/>
        <v>0</v>
      </c>
      <c r="PP36" s="16">
        <f t="shared" si="178"/>
        <v>0</v>
      </c>
      <c r="PQ36" s="59">
        <f t="shared" si="150"/>
        <v>104500</v>
      </c>
      <c r="PS36" s="885">
        <f t="shared" si="151"/>
        <v>0.4</v>
      </c>
    </row>
    <row r="37" spans="2:435" x14ac:dyDescent="0.2">
      <c r="B37" s="24">
        <v>26</v>
      </c>
      <c r="C37" s="25" t="s">
        <v>13</v>
      </c>
      <c r="D37" s="26">
        <v>55000</v>
      </c>
      <c r="E37" s="42">
        <v>1</v>
      </c>
      <c r="F37" s="31"/>
      <c r="G37" s="12"/>
      <c r="H37" s="12"/>
      <c r="I37" s="12"/>
      <c r="J37" s="12">
        <v>0.5</v>
      </c>
      <c r="K37" s="12">
        <v>0.25</v>
      </c>
      <c r="L37" s="15">
        <v>0.25</v>
      </c>
      <c r="M37" s="61">
        <f t="shared" si="41"/>
        <v>0</v>
      </c>
      <c r="N37" s="31">
        <f t="shared" si="0"/>
        <v>0</v>
      </c>
      <c r="O37" s="12">
        <f t="shared" si="0"/>
        <v>0</v>
      </c>
      <c r="P37" s="12">
        <f t="shared" si="0"/>
        <v>0</v>
      </c>
      <c r="Q37" s="12">
        <f t="shared" si="0"/>
        <v>0</v>
      </c>
      <c r="R37" s="12">
        <f t="shared" si="0"/>
        <v>27500</v>
      </c>
      <c r="S37" s="12">
        <f t="shared" si="0"/>
        <v>13750</v>
      </c>
      <c r="T37" s="15">
        <f t="shared" si="0"/>
        <v>13750</v>
      </c>
      <c r="U37" s="59">
        <f t="shared" si="191"/>
        <v>0</v>
      </c>
      <c r="V37" s="26">
        <v>60500</v>
      </c>
      <c r="W37" s="42">
        <v>1</v>
      </c>
      <c r="X37" s="31"/>
      <c r="Y37" s="12"/>
      <c r="Z37" s="12"/>
      <c r="AA37" s="12"/>
      <c r="AB37" s="12"/>
      <c r="AC37" s="12"/>
      <c r="AD37" s="15"/>
      <c r="AE37" s="15">
        <v>1</v>
      </c>
      <c r="AF37" s="61">
        <f t="shared" si="42"/>
        <v>0</v>
      </c>
      <c r="AG37" s="35">
        <f t="shared" si="43"/>
        <v>0</v>
      </c>
      <c r="AH37" s="35">
        <f t="shared" si="43"/>
        <v>0</v>
      </c>
      <c r="AI37" s="35">
        <f t="shared" si="43"/>
        <v>0</v>
      </c>
      <c r="AJ37" s="35">
        <f t="shared" si="43"/>
        <v>0</v>
      </c>
      <c r="AK37" s="35">
        <f t="shared" si="43"/>
        <v>0</v>
      </c>
      <c r="AL37" s="35">
        <f t="shared" si="43"/>
        <v>0</v>
      </c>
      <c r="AM37" s="35">
        <f t="shared" si="43"/>
        <v>0</v>
      </c>
      <c r="AN37" s="35">
        <f t="shared" si="43"/>
        <v>60500</v>
      </c>
      <c r="AO37" s="62">
        <f t="shared" si="44"/>
        <v>0</v>
      </c>
      <c r="AP37" s="26">
        <v>60500</v>
      </c>
      <c r="AQ37" s="42">
        <v>1</v>
      </c>
      <c r="AR37" s="12"/>
      <c r="AS37" s="12"/>
      <c r="AT37" s="12"/>
      <c r="AU37" s="12"/>
      <c r="AV37" s="15"/>
      <c r="AW37" s="15">
        <v>1</v>
      </c>
      <c r="AX37" s="61">
        <f t="shared" si="45"/>
        <v>0</v>
      </c>
      <c r="AY37" s="35">
        <f t="shared" si="273"/>
        <v>0</v>
      </c>
      <c r="AZ37" s="35">
        <f t="shared" si="273"/>
        <v>0</v>
      </c>
      <c r="BA37" s="35">
        <f t="shared" si="273"/>
        <v>0</v>
      </c>
      <c r="BB37" s="35">
        <f t="shared" si="273"/>
        <v>0</v>
      </c>
      <c r="BC37" s="35">
        <f t="shared" si="273"/>
        <v>0</v>
      </c>
      <c r="BD37" s="34">
        <f t="shared" si="273"/>
        <v>60500</v>
      </c>
      <c r="BE37" s="59">
        <f t="shared" si="46"/>
        <v>0</v>
      </c>
      <c r="BF37" s="26">
        <v>60500</v>
      </c>
      <c r="BG37" s="42">
        <v>1</v>
      </c>
      <c r="BH37" s="12">
        <v>0.25</v>
      </c>
      <c r="BI37" s="12">
        <v>0.1</v>
      </c>
      <c r="BJ37" s="12"/>
      <c r="BK37" s="12"/>
      <c r="BL37" s="15"/>
      <c r="BM37" s="15">
        <v>0.35</v>
      </c>
      <c r="BN37" s="15">
        <v>0.3</v>
      </c>
      <c r="BO37" s="61">
        <f t="shared" si="3"/>
        <v>0</v>
      </c>
      <c r="BP37" s="65">
        <f t="shared" si="274"/>
        <v>15125</v>
      </c>
      <c r="BQ37" s="33">
        <f t="shared" si="274"/>
        <v>6050</v>
      </c>
      <c r="BR37" s="33">
        <f t="shared" si="274"/>
        <v>0</v>
      </c>
      <c r="BS37" s="33">
        <f t="shared" si="274"/>
        <v>0</v>
      </c>
      <c r="BT37" s="33">
        <f t="shared" si="274"/>
        <v>0</v>
      </c>
      <c r="BU37" s="33">
        <f t="shared" si="274"/>
        <v>21175</v>
      </c>
      <c r="BV37" s="34">
        <f t="shared" si="274"/>
        <v>18150</v>
      </c>
      <c r="BW37" s="59">
        <f t="shared" si="192"/>
        <v>0</v>
      </c>
      <c r="BX37" s="26">
        <v>60500</v>
      </c>
      <c r="BY37" s="68">
        <v>1</v>
      </c>
      <c r="BZ37" s="31">
        <v>0.5</v>
      </c>
      <c r="CA37" s="12"/>
      <c r="CB37" s="12">
        <v>0.5</v>
      </c>
      <c r="CC37" s="12"/>
      <c r="CD37" s="15"/>
      <c r="CE37" s="15"/>
      <c r="CF37" s="15"/>
      <c r="CG37" s="61">
        <f t="shared" si="5"/>
        <v>0</v>
      </c>
      <c r="CH37" s="66">
        <f t="shared" si="47"/>
        <v>30250</v>
      </c>
      <c r="CI37" s="12">
        <f t="shared" si="47"/>
        <v>0</v>
      </c>
      <c r="CJ37" s="12">
        <f t="shared" si="47"/>
        <v>30250</v>
      </c>
      <c r="CK37" s="12">
        <f t="shared" si="47"/>
        <v>0</v>
      </c>
      <c r="CL37" s="12">
        <f t="shared" si="47"/>
        <v>0</v>
      </c>
      <c r="CM37" s="12">
        <f t="shared" si="47"/>
        <v>0</v>
      </c>
      <c r="CN37" s="16">
        <f t="shared" si="47"/>
        <v>0</v>
      </c>
      <c r="CO37" s="59">
        <f t="shared" si="193"/>
        <v>0</v>
      </c>
      <c r="CP37" s="69">
        <f>2880.95+54127.08</f>
        <v>57008.03</v>
      </c>
      <c r="CQ37" s="68">
        <v>1</v>
      </c>
      <c r="CR37" s="12"/>
      <c r="CS37" s="12"/>
      <c r="CT37" s="12">
        <v>1</v>
      </c>
      <c r="CU37" s="12"/>
      <c r="CV37" s="15"/>
      <c r="CW37" s="15"/>
      <c r="CX37" s="15"/>
      <c r="CY37" s="61">
        <f t="shared" si="7"/>
        <v>0</v>
      </c>
      <c r="CZ37" s="66">
        <f t="shared" si="194"/>
        <v>0</v>
      </c>
      <c r="DA37" s="12">
        <f t="shared" si="194"/>
        <v>0</v>
      </c>
      <c r="DB37" s="12">
        <f t="shared" si="194"/>
        <v>57008.03</v>
      </c>
      <c r="DC37" s="12">
        <f t="shared" si="194"/>
        <v>0</v>
      </c>
      <c r="DD37" s="12">
        <f t="shared" si="194"/>
        <v>0</v>
      </c>
      <c r="DE37" s="12">
        <f t="shared" si="194"/>
        <v>0</v>
      </c>
      <c r="DF37" s="16">
        <f t="shared" si="194"/>
        <v>0</v>
      </c>
      <c r="DG37" s="59">
        <f t="shared" si="195"/>
        <v>0</v>
      </c>
      <c r="DH37" s="69">
        <v>60500</v>
      </c>
      <c r="DI37" s="68">
        <v>1</v>
      </c>
      <c r="DJ37" s="12"/>
      <c r="DK37" s="12"/>
      <c r="DL37" s="12">
        <v>1</v>
      </c>
      <c r="DM37" s="12"/>
      <c r="DN37" s="15"/>
      <c r="DO37" s="15"/>
      <c r="DP37" s="15"/>
      <c r="DQ37" s="61">
        <f t="shared" si="9"/>
        <v>0</v>
      </c>
      <c r="DR37" s="66">
        <f t="shared" si="48"/>
        <v>0</v>
      </c>
      <c r="DS37" s="12">
        <f t="shared" si="48"/>
        <v>0</v>
      </c>
      <c r="DT37" s="12">
        <f t="shared" si="48"/>
        <v>60500</v>
      </c>
      <c r="DU37" s="12">
        <f t="shared" si="48"/>
        <v>0</v>
      </c>
      <c r="DV37" s="12">
        <f t="shared" si="48"/>
        <v>0</v>
      </c>
      <c r="DW37" s="12">
        <f t="shared" si="48"/>
        <v>0</v>
      </c>
      <c r="DX37" s="16">
        <f t="shared" si="48"/>
        <v>0</v>
      </c>
      <c r="DY37" s="59">
        <f t="shared" si="196"/>
        <v>0</v>
      </c>
      <c r="DZ37" s="69">
        <v>60500</v>
      </c>
      <c r="EA37" s="68">
        <v>1</v>
      </c>
      <c r="EB37" s="12">
        <v>0.5</v>
      </c>
      <c r="EC37" s="12"/>
      <c r="ED37" s="12"/>
      <c r="EE37" s="15"/>
      <c r="EF37" s="15">
        <v>0.5</v>
      </c>
      <c r="EG37" s="15"/>
      <c r="EH37" s="61">
        <f t="shared" si="197"/>
        <v>0</v>
      </c>
      <c r="EI37" s="66">
        <f t="shared" si="275"/>
        <v>30250</v>
      </c>
      <c r="EJ37" s="12">
        <f t="shared" si="275"/>
        <v>0</v>
      </c>
      <c r="EK37" s="12">
        <f t="shared" si="275"/>
        <v>0</v>
      </c>
      <c r="EL37" s="12">
        <f t="shared" si="275"/>
        <v>0</v>
      </c>
      <c r="EM37" s="12">
        <f t="shared" si="275"/>
        <v>30250</v>
      </c>
      <c r="EN37" s="16">
        <f t="shared" si="275"/>
        <v>0</v>
      </c>
      <c r="EO37" s="59">
        <f t="shared" si="198"/>
        <v>0</v>
      </c>
      <c r="EP37" s="69">
        <v>60500</v>
      </c>
      <c r="EQ37" s="68">
        <v>1</v>
      </c>
      <c r="ER37" s="12">
        <v>0.5</v>
      </c>
      <c r="ES37" s="12">
        <v>0.1</v>
      </c>
      <c r="ET37" s="15">
        <v>0.4</v>
      </c>
      <c r="EU37" s="15"/>
      <c r="EV37" s="61">
        <f t="shared" si="199"/>
        <v>0</v>
      </c>
      <c r="EW37" s="66">
        <f t="shared" si="49"/>
        <v>30250</v>
      </c>
      <c r="EX37" s="12">
        <f t="shared" si="49"/>
        <v>6050</v>
      </c>
      <c r="EY37" s="12">
        <f t="shared" si="49"/>
        <v>24200</v>
      </c>
      <c r="EZ37" s="16">
        <f t="shared" si="49"/>
        <v>0</v>
      </c>
      <c r="FA37" s="59">
        <f t="shared" si="200"/>
        <v>0</v>
      </c>
      <c r="FB37" s="69">
        <v>60500</v>
      </c>
      <c r="FC37" s="68">
        <v>1</v>
      </c>
      <c r="FD37" s="12"/>
      <c r="FE37" s="15"/>
      <c r="FF37" s="15">
        <v>1</v>
      </c>
      <c r="FG37" s="61">
        <f t="shared" si="201"/>
        <v>0</v>
      </c>
      <c r="FH37" s="66">
        <f t="shared" si="50"/>
        <v>0</v>
      </c>
      <c r="FI37" s="12">
        <f t="shared" si="50"/>
        <v>0</v>
      </c>
      <c r="FJ37" s="16">
        <f t="shared" si="50"/>
        <v>60500</v>
      </c>
      <c r="FK37" s="59">
        <f t="shared" si="202"/>
        <v>0</v>
      </c>
      <c r="FL37" s="69">
        <v>60500</v>
      </c>
      <c r="FM37" s="68">
        <v>1</v>
      </c>
      <c r="FN37" s="12"/>
      <c r="FO37" s="15"/>
      <c r="FP37" s="15">
        <v>0.4</v>
      </c>
      <c r="FQ37" s="15">
        <v>0.1</v>
      </c>
      <c r="FR37" s="15">
        <v>0.5</v>
      </c>
      <c r="FS37" s="61">
        <f t="shared" si="203"/>
        <v>0</v>
      </c>
      <c r="FT37" s="66">
        <f t="shared" si="204"/>
        <v>0</v>
      </c>
      <c r="FU37" s="12">
        <f t="shared" si="205"/>
        <v>0</v>
      </c>
      <c r="FV37" s="12">
        <f t="shared" si="206"/>
        <v>24200</v>
      </c>
      <c r="FW37" s="12">
        <f t="shared" si="207"/>
        <v>6050</v>
      </c>
      <c r="FX37" s="16">
        <f t="shared" si="51"/>
        <v>30250</v>
      </c>
      <c r="FY37" s="59">
        <f t="shared" si="52"/>
        <v>0</v>
      </c>
      <c r="FZ37" s="69">
        <f>60500*3+29000</f>
        <v>210500</v>
      </c>
      <c r="GA37" s="68">
        <v>1</v>
      </c>
      <c r="GB37" s="12">
        <v>1</v>
      </c>
      <c r="GC37" s="15"/>
      <c r="GD37" s="15"/>
      <c r="GE37" s="15"/>
      <c r="GF37" s="61">
        <f t="shared" si="208"/>
        <v>0</v>
      </c>
      <c r="GG37" s="66">
        <f t="shared" si="53"/>
        <v>210500</v>
      </c>
      <c r="GH37" s="120">
        <f>IF($GA37&lt;&gt;0,GB37*($FZ37-150000)/$GA37,0)</f>
        <v>60500</v>
      </c>
      <c r="GI37" s="12">
        <f t="shared" si="289"/>
        <v>0</v>
      </c>
      <c r="GJ37" s="12">
        <f t="shared" si="179"/>
        <v>0</v>
      </c>
      <c r="GK37" s="31">
        <f t="shared" si="290"/>
        <v>0</v>
      </c>
      <c r="GL37" s="123">
        <f t="shared" si="291"/>
        <v>0</v>
      </c>
      <c r="GM37" s="410">
        <f t="shared" si="16"/>
        <v>0</v>
      </c>
      <c r="GN37" s="414">
        <f>60500</f>
        <v>60500</v>
      </c>
      <c r="GO37" s="68">
        <v>1</v>
      </c>
      <c r="GP37" s="12"/>
      <c r="GQ37" s="15">
        <v>1</v>
      </c>
      <c r="GR37" s="15"/>
      <c r="GS37" s="15"/>
      <c r="GT37" s="15"/>
      <c r="GU37" s="61">
        <f t="shared" si="54"/>
        <v>0</v>
      </c>
      <c r="GV37" s="66">
        <f t="shared" si="17"/>
        <v>0</v>
      </c>
      <c r="GW37" s="12">
        <f t="shared" si="18"/>
        <v>60500</v>
      </c>
      <c r="GX37" s="12">
        <f t="shared" si="19"/>
        <v>0</v>
      </c>
      <c r="GY37" s="12">
        <f t="shared" si="20"/>
        <v>0</v>
      </c>
      <c r="GZ37" s="16">
        <f t="shared" si="21"/>
        <v>0</v>
      </c>
      <c r="HA37" s="59">
        <f t="shared" si="55"/>
        <v>0</v>
      </c>
      <c r="HB37" s="69">
        <v>70000</v>
      </c>
      <c r="HC37" s="68">
        <v>1</v>
      </c>
      <c r="HD37" s="12"/>
      <c r="HE37" s="15">
        <v>1</v>
      </c>
      <c r="HF37" s="15"/>
      <c r="HG37" s="15"/>
      <c r="HH37" s="15"/>
      <c r="HI37" s="15"/>
      <c r="HJ37" s="15"/>
      <c r="HK37" s="15"/>
      <c r="HL37" s="61">
        <f t="shared" si="56"/>
        <v>0</v>
      </c>
      <c r="HM37" s="66">
        <f t="shared" si="22"/>
        <v>0</v>
      </c>
      <c r="HN37" s="12">
        <f t="shared" si="23"/>
        <v>70000</v>
      </c>
      <c r="HO37" s="12">
        <f t="shared" si="24"/>
        <v>0</v>
      </c>
      <c r="HP37" s="12">
        <f t="shared" si="25"/>
        <v>0</v>
      </c>
      <c r="HQ37" s="12">
        <f t="shared" si="26"/>
        <v>0</v>
      </c>
      <c r="HR37" s="12">
        <f t="shared" si="27"/>
        <v>0</v>
      </c>
      <c r="HS37" s="12">
        <f t="shared" si="28"/>
        <v>0</v>
      </c>
      <c r="HT37" s="16">
        <f t="shared" si="29"/>
        <v>0</v>
      </c>
      <c r="HU37" s="59">
        <f t="shared" si="57"/>
        <v>0</v>
      </c>
      <c r="HV37" s="69">
        <f>60500</f>
        <v>60500</v>
      </c>
      <c r="HW37" s="68">
        <v>1</v>
      </c>
      <c r="HX37" s="12"/>
      <c r="HY37" s="15"/>
      <c r="HZ37" s="61">
        <f t="shared" si="58"/>
        <v>1</v>
      </c>
      <c r="IA37" s="66">
        <f t="shared" si="59"/>
        <v>0</v>
      </c>
      <c r="IB37" s="16">
        <f t="shared" si="59"/>
        <v>0</v>
      </c>
      <c r="IC37" s="59">
        <f t="shared" si="60"/>
        <v>60500</v>
      </c>
      <c r="ID37" s="129">
        <f>3333.33+70425.6</f>
        <v>73758.929999999993</v>
      </c>
      <c r="IE37" s="68">
        <v>1</v>
      </c>
      <c r="IF37" s="12"/>
      <c r="IG37" s="15">
        <v>1</v>
      </c>
      <c r="IH37" s="15"/>
      <c r="II37" s="15"/>
      <c r="IJ37" s="15"/>
      <c r="IK37" s="15"/>
      <c r="IL37" s="15"/>
      <c r="IM37" s="15"/>
      <c r="IN37" s="15"/>
      <c r="IO37" s="61">
        <f t="shared" si="61"/>
        <v>0</v>
      </c>
      <c r="IP37" s="66">
        <f t="shared" si="62"/>
        <v>0</v>
      </c>
      <c r="IQ37" s="12">
        <f t="shared" si="63"/>
        <v>73758.929999999993</v>
      </c>
      <c r="IR37" s="12">
        <f t="shared" si="64"/>
        <v>0</v>
      </c>
      <c r="IS37" s="12">
        <f t="shared" si="65"/>
        <v>0</v>
      </c>
      <c r="IT37" s="12">
        <f t="shared" si="66"/>
        <v>0</v>
      </c>
      <c r="IU37" s="12">
        <f t="shared" si="67"/>
        <v>0</v>
      </c>
      <c r="IV37" s="12">
        <f t="shared" si="68"/>
        <v>0</v>
      </c>
      <c r="IW37" s="15">
        <f t="shared" si="69"/>
        <v>0</v>
      </c>
      <c r="IX37" s="16">
        <f t="shared" si="69"/>
        <v>0</v>
      </c>
      <c r="IY37" s="59">
        <f t="shared" si="70"/>
        <v>0</v>
      </c>
      <c r="IZ37" s="129">
        <v>70000</v>
      </c>
      <c r="JA37" s="68">
        <v>1</v>
      </c>
      <c r="JB37" s="12"/>
      <c r="JC37" s="15">
        <v>0.5</v>
      </c>
      <c r="JD37" s="15"/>
      <c r="JE37" s="15"/>
      <c r="JF37" s="15"/>
      <c r="JG37" s="15"/>
      <c r="JH37" s="15"/>
      <c r="JI37" s="15"/>
      <c r="JJ37" s="15">
        <v>0.5</v>
      </c>
      <c r="JK37" s="61">
        <f t="shared" si="71"/>
        <v>0</v>
      </c>
      <c r="JL37" s="66">
        <f t="shared" si="72"/>
        <v>0</v>
      </c>
      <c r="JM37" s="12">
        <f t="shared" si="276"/>
        <v>35000</v>
      </c>
      <c r="JN37" s="12">
        <f t="shared" si="277"/>
        <v>0</v>
      </c>
      <c r="JO37" s="12">
        <f t="shared" si="278"/>
        <v>0</v>
      </c>
      <c r="JP37" s="12">
        <f t="shared" si="279"/>
        <v>0</v>
      </c>
      <c r="JQ37" s="12">
        <f t="shared" si="280"/>
        <v>0</v>
      </c>
      <c r="JR37" s="12">
        <f t="shared" si="281"/>
        <v>0</v>
      </c>
      <c r="JS37" s="12">
        <f t="shared" si="282"/>
        <v>0</v>
      </c>
      <c r="JT37" s="16">
        <f t="shared" si="283"/>
        <v>35000</v>
      </c>
      <c r="JU37" s="59">
        <f t="shared" si="81"/>
        <v>0</v>
      </c>
      <c r="JV37" s="129">
        <v>70000</v>
      </c>
      <c r="JW37" s="68">
        <v>1</v>
      </c>
      <c r="JX37" s="12"/>
      <c r="JY37" s="12"/>
      <c r="JZ37" s="15">
        <v>1</v>
      </c>
      <c r="KA37" s="15"/>
      <c r="KB37" s="15"/>
      <c r="KC37" s="15"/>
      <c r="KD37" s="15"/>
      <c r="KE37" s="15"/>
      <c r="KF37" s="15"/>
      <c r="KG37" s="61">
        <f t="shared" si="82"/>
        <v>0</v>
      </c>
      <c r="KH37" s="146">
        <f t="shared" si="83"/>
        <v>0</v>
      </c>
      <c r="KI37" s="12">
        <f t="shared" si="83"/>
        <v>0</v>
      </c>
      <c r="KJ37" s="12">
        <f t="shared" si="84"/>
        <v>70000</v>
      </c>
      <c r="KK37" s="12">
        <f t="shared" si="85"/>
        <v>0</v>
      </c>
      <c r="KL37" s="12">
        <f t="shared" si="86"/>
        <v>0</v>
      </c>
      <c r="KM37" s="12">
        <f t="shared" si="87"/>
        <v>0</v>
      </c>
      <c r="KN37" s="12">
        <f t="shared" si="88"/>
        <v>0</v>
      </c>
      <c r="KO37" s="12">
        <f t="shared" si="89"/>
        <v>0</v>
      </c>
      <c r="KP37" s="16">
        <f t="shared" si="90"/>
        <v>0</v>
      </c>
      <c r="KQ37" s="59">
        <f t="shared" si="91"/>
        <v>0</v>
      </c>
      <c r="KR37" s="129">
        <v>70000</v>
      </c>
      <c r="KS37" s="68">
        <v>1</v>
      </c>
      <c r="KT37" s="12"/>
      <c r="KU37" s="15">
        <v>0.4</v>
      </c>
      <c r="KV37" s="15">
        <v>0.2</v>
      </c>
      <c r="KW37" s="15"/>
      <c r="KX37" s="15"/>
      <c r="KY37" s="15"/>
      <c r="KZ37" s="15"/>
      <c r="LA37" s="15">
        <v>0.35</v>
      </c>
      <c r="LB37" s="61">
        <f t="shared" si="92"/>
        <v>0.05</v>
      </c>
      <c r="LC37" s="66">
        <f t="shared" si="93"/>
        <v>0</v>
      </c>
      <c r="LD37" s="12">
        <f t="shared" si="94"/>
        <v>28000</v>
      </c>
      <c r="LE37" s="12">
        <f t="shared" si="95"/>
        <v>14000</v>
      </c>
      <c r="LF37" s="12">
        <f t="shared" si="96"/>
        <v>0</v>
      </c>
      <c r="LG37" s="12">
        <f t="shared" si="97"/>
        <v>0</v>
      </c>
      <c r="LH37" s="12">
        <f t="shared" si="98"/>
        <v>0</v>
      </c>
      <c r="LI37" s="12">
        <f t="shared" si="99"/>
        <v>0</v>
      </c>
      <c r="LJ37" s="16">
        <f t="shared" si="100"/>
        <v>24500</v>
      </c>
      <c r="LK37" s="59">
        <f t="shared" si="101"/>
        <v>3500</v>
      </c>
      <c r="LL37" s="129">
        <v>70000</v>
      </c>
      <c r="LM37" s="68">
        <v>1</v>
      </c>
      <c r="LN37" s="15">
        <v>0.2</v>
      </c>
      <c r="LO37" s="15">
        <v>0.25</v>
      </c>
      <c r="LP37" s="15"/>
      <c r="LQ37" s="15"/>
      <c r="LR37" s="15">
        <v>0.5</v>
      </c>
      <c r="LS37" s="15"/>
      <c r="LT37" s="15"/>
      <c r="LU37" s="61">
        <f t="shared" si="102"/>
        <v>0.05</v>
      </c>
      <c r="LV37" s="66">
        <f t="shared" si="103"/>
        <v>14000</v>
      </c>
      <c r="LW37" s="12">
        <f t="shared" si="104"/>
        <v>17500</v>
      </c>
      <c r="LX37" s="12">
        <f t="shared" si="105"/>
        <v>0</v>
      </c>
      <c r="LY37" s="12">
        <f t="shared" si="106"/>
        <v>0</v>
      </c>
      <c r="LZ37" s="12">
        <f t="shared" si="107"/>
        <v>35000</v>
      </c>
      <c r="MA37" s="12">
        <f t="shared" si="108"/>
        <v>0</v>
      </c>
      <c r="MB37" s="16">
        <f t="shared" si="109"/>
        <v>0</v>
      </c>
      <c r="MC37" s="59">
        <f t="shared" si="110"/>
        <v>3500</v>
      </c>
      <c r="MD37" s="129">
        <v>70000</v>
      </c>
      <c r="ME37" s="68">
        <v>1</v>
      </c>
      <c r="MF37" s="15"/>
      <c r="MG37" s="15">
        <v>0.5</v>
      </c>
      <c r="MH37" s="15">
        <v>0.2</v>
      </c>
      <c r="MI37" s="15">
        <v>0.3</v>
      </c>
      <c r="MJ37" s="15"/>
      <c r="MK37" s="15"/>
      <c r="ML37" s="15"/>
      <c r="MM37" s="61">
        <f t="shared" si="111"/>
        <v>0</v>
      </c>
      <c r="MN37" s="66">
        <f t="shared" si="112"/>
        <v>0</v>
      </c>
      <c r="MO37" s="12">
        <f t="shared" si="113"/>
        <v>35000</v>
      </c>
      <c r="MP37" s="12">
        <f t="shared" si="114"/>
        <v>14000</v>
      </c>
      <c r="MQ37" s="12">
        <f t="shared" si="115"/>
        <v>21000</v>
      </c>
      <c r="MR37" s="12">
        <f t="shared" si="116"/>
        <v>0</v>
      </c>
      <c r="MS37" s="12">
        <f t="shared" si="116"/>
        <v>0</v>
      </c>
      <c r="MT37" s="16">
        <f t="shared" si="117"/>
        <v>0</v>
      </c>
      <c r="MU37" s="59">
        <f t="shared" si="189"/>
        <v>0</v>
      </c>
      <c r="MV37" s="617">
        <v>70000</v>
      </c>
      <c r="MW37" s="619">
        <v>1</v>
      </c>
      <c r="MX37" s="15"/>
      <c r="MY37" s="15">
        <v>0.2</v>
      </c>
      <c r="MZ37" s="15"/>
      <c r="NA37" s="15"/>
      <c r="NB37" s="15"/>
      <c r="NC37" s="15"/>
      <c r="ND37" s="15"/>
      <c r="NE37" s="61">
        <f t="shared" si="118"/>
        <v>0.8</v>
      </c>
      <c r="NF37" s="66">
        <f t="shared" si="119"/>
        <v>0</v>
      </c>
      <c r="NG37" s="12">
        <f t="shared" si="120"/>
        <v>14000</v>
      </c>
      <c r="NH37" s="12">
        <f t="shared" si="121"/>
        <v>0</v>
      </c>
      <c r="NI37" s="12">
        <f t="shared" si="122"/>
        <v>0</v>
      </c>
      <c r="NJ37" s="12">
        <f t="shared" si="123"/>
        <v>0</v>
      </c>
      <c r="NK37" s="12">
        <f t="shared" si="123"/>
        <v>0</v>
      </c>
      <c r="NL37" s="16">
        <f t="shared" si="124"/>
        <v>0</v>
      </c>
      <c r="NM37" s="59">
        <f t="shared" si="125"/>
        <v>56000</v>
      </c>
      <c r="NN37" s="617">
        <v>70000</v>
      </c>
      <c r="NO37" s="619">
        <v>1</v>
      </c>
      <c r="NP37" s="15"/>
      <c r="NQ37" s="15"/>
      <c r="NR37" s="15"/>
      <c r="NS37" s="15"/>
      <c r="NT37" s="15"/>
      <c r="NU37" s="61">
        <f t="shared" si="126"/>
        <v>1</v>
      </c>
      <c r="NV37" s="66">
        <f t="shared" si="190"/>
        <v>0</v>
      </c>
      <c r="NW37" s="12">
        <f t="shared" si="209"/>
        <v>0</v>
      </c>
      <c r="NX37" s="12">
        <f t="shared" si="210"/>
        <v>0</v>
      </c>
      <c r="NY37" s="12">
        <f t="shared" si="211"/>
        <v>0</v>
      </c>
      <c r="NZ37" s="16">
        <f t="shared" si="212"/>
        <v>0</v>
      </c>
      <c r="OA37" s="59">
        <f t="shared" si="131"/>
        <v>70000</v>
      </c>
      <c r="OB37" s="131">
        <v>70000</v>
      </c>
      <c r="OC37" s="133">
        <v>1</v>
      </c>
      <c r="OD37" s="15"/>
      <c r="OE37" s="15"/>
      <c r="OF37" s="15"/>
      <c r="OG37" s="15"/>
      <c r="OH37" s="15"/>
      <c r="OI37" s="61">
        <f t="shared" si="163"/>
        <v>1</v>
      </c>
      <c r="OJ37" s="66">
        <f t="shared" si="132"/>
        <v>0</v>
      </c>
      <c r="OK37" s="12">
        <f t="shared" si="133"/>
        <v>0</v>
      </c>
      <c r="OL37" s="12">
        <f t="shared" si="134"/>
        <v>0</v>
      </c>
      <c r="OM37" s="12">
        <f t="shared" si="135"/>
        <v>0</v>
      </c>
      <c r="ON37" s="16">
        <f t="shared" si="136"/>
        <v>0</v>
      </c>
      <c r="OO37" s="59">
        <f t="shared" si="137"/>
        <v>70000</v>
      </c>
      <c r="OP37" s="131">
        <v>70000</v>
      </c>
      <c r="OQ37" s="133">
        <v>1</v>
      </c>
      <c r="OR37" s="15"/>
      <c r="OS37" s="15"/>
      <c r="OT37" s="15"/>
      <c r="OU37" s="15"/>
      <c r="OV37" s="15"/>
      <c r="OW37" s="61">
        <f t="shared" si="138"/>
        <v>1</v>
      </c>
      <c r="OX37" s="66">
        <f t="shared" si="139"/>
        <v>0</v>
      </c>
      <c r="OY37" s="12">
        <f t="shared" si="140"/>
        <v>0</v>
      </c>
      <c r="OZ37" s="12">
        <f t="shared" si="141"/>
        <v>0</v>
      </c>
      <c r="PA37" s="12">
        <f t="shared" si="142"/>
        <v>0</v>
      </c>
      <c r="PB37" s="16">
        <f t="shared" si="143"/>
        <v>0</v>
      </c>
      <c r="PC37" s="59">
        <f t="shared" si="144"/>
        <v>70000</v>
      </c>
      <c r="PD37" s="131">
        <v>70000</v>
      </c>
      <c r="PE37" s="133">
        <v>1</v>
      </c>
      <c r="PF37" s="15"/>
      <c r="PG37" s="15"/>
      <c r="PH37" s="15"/>
      <c r="PI37" s="15"/>
      <c r="PJ37" s="15"/>
      <c r="PK37" s="61">
        <f t="shared" si="145"/>
        <v>1</v>
      </c>
      <c r="PL37" s="66">
        <f t="shared" si="174"/>
        <v>0</v>
      </c>
      <c r="PM37" s="12">
        <f t="shared" si="175"/>
        <v>0</v>
      </c>
      <c r="PN37" s="12">
        <f t="shared" si="176"/>
        <v>0</v>
      </c>
      <c r="PO37" s="12">
        <f t="shared" si="177"/>
        <v>0</v>
      </c>
      <c r="PP37" s="16">
        <f t="shared" si="178"/>
        <v>0</v>
      </c>
      <c r="PQ37" s="59">
        <f t="shared" si="150"/>
        <v>70000</v>
      </c>
      <c r="PS37" s="885">
        <f t="shared" si="151"/>
        <v>0.85</v>
      </c>
    </row>
    <row r="38" spans="2:435" x14ac:dyDescent="0.2">
      <c r="B38" s="24">
        <v>27</v>
      </c>
      <c r="C38" s="70" t="s">
        <v>43</v>
      </c>
      <c r="D38" s="26"/>
      <c r="E38" s="42"/>
      <c r="F38" s="31"/>
      <c r="G38" s="12"/>
      <c r="H38" s="12"/>
      <c r="I38" s="12"/>
      <c r="J38" s="12"/>
      <c r="K38" s="12"/>
      <c r="L38" s="15"/>
      <c r="M38" s="61">
        <f t="shared" si="41"/>
        <v>0</v>
      </c>
      <c r="N38" s="31">
        <f t="shared" si="0"/>
        <v>0</v>
      </c>
      <c r="O38" s="12">
        <f t="shared" si="0"/>
        <v>0</v>
      </c>
      <c r="P38" s="12">
        <f t="shared" si="0"/>
        <v>0</v>
      </c>
      <c r="Q38" s="12">
        <f t="shared" si="0"/>
        <v>0</v>
      </c>
      <c r="R38" s="12">
        <f t="shared" si="0"/>
        <v>0</v>
      </c>
      <c r="S38" s="12">
        <f t="shared" si="0"/>
        <v>0</v>
      </c>
      <c r="T38" s="15">
        <f t="shared" si="0"/>
        <v>0</v>
      </c>
      <c r="U38" s="59">
        <f t="shared" si="191"/>
        <v>0</v>
      </c>
      <c r="V38" s="26"/>
      <c r="W38" s="42"/>
      <c r="X38" s="31"/>
      <c r="Y38" s="12"/>
      <c r="Z38" s="12"/>
      <c r="AA38" s="12"/>
      <c r="AB38" s="12"/>
      <c r="AC38" s="12"/>
      <c r="AD38" s="15"/>
      <c r="AE38" s="15"/>
      <c r="AF38" s="61">
        <f t="shared" si="42"/>
        <v>0</v>
      </c>
      <c r="AG38" s="35">
        <f t="shared" si="43"/>
        <v>0</v>
      </c>
      <c r="AH38" s="35">
        <f t="shared" si="43"/>
        <v>0</v>
      </c>
      <c r="AI38" s="35">
        <f t="shared" si="43"/>
        <v>0</v>
      </c>
      <c r="AJ38" s="35">
        <f t="shared" si="43"/>
        <v>0</v>
      </c>
      <c r="AK38" s="35">
        <f t="shared" si="43"/>
        <v>0</v>
      </c>
      <c r="AL38" s="35">
        <f t="shared" si="43"/>
        <v>0</v>
      </c>
      <c r="AM38" s="35">
        <f t="shared" si="43"/>
        <v>0</v>
      </c>
      <c r="AN38" s="35">
        <f t="shared" si="43"/>
        <v>0</v>
      </c>
      <c r="AO38" s="62">
        <f t="shared" si="44"/>
        <v>0</v>
      </c>
      <c r="AP38" s="26"/>
      <c r="AQ38" s="42"/>
      <c r="AR38" s="12"/>
      <c r="AS38" s="12"/>
      <c r="AT38" s="12"/>
      <c r="AU38" s="12"/>
      <c r="AV38" s="15"/>
      <c r="AW38" s="15"/>
      <c r="AX38" s="61">
        <f t="shared" si="45"/>
        <v>0</v>
      </c>
      <c r="AY38" s="35">
        <f t="shared" si="273"/>
        <v>0</v>
      </c>
      <c r="AZ38" s="35">
        <f t="shared" si="273"/>
        <v>0</v>
      </c>
      <c r="BA38" s="35">
        <f t="shared" si="273"/>
        <v>0</v>
      </c>
      <c r="BB38" s="35">
        <f t="shared" si="273"/>
        <v>0</v>
      </c>
      <c r="BC38" s="35">
        <f t="shared" si="273"/>
        <v>0</v>
      </c>
      <c r="BD38" s="34">
        <f t="shared" si="273"/>
        <v>0</v>
      </c>
      <c r="BE38" s="59">
        <f t="shared" si="46"/>
        <v>0</v>
      </c>
      <c r="BF38" s="26">
        <v>25000</v>
      </c>
      <c r="BG38" s="42">
        <v>0.5</v>
      </c>
      <c r="BH38" s="12"/>
      <c r="BI38" s="12"/>
      <c r="BJ38" s="12"/>
      <c r="BK38" s="12"/>
      <c r="BL38" s="15">
        <v>0.5</v>
      </c>
      <c r="BM38" s="15"/>
      <c r="BN38" s="15"/>
      <c r="BO38" s="61">
        <f t="shared" si="3"/>
        <v>0</v>
      </c>
      <c r="BP38" s="65">
        <f t="shared" si="274"/>
        <v>0</v>
      </c>
      <c r="BQ38" s="33">
        <f t="shared" si="274"/>
        <v>0</v>
      </c>
      <c r="BR38" s="33">
        <f t="shared" si="274"/>
        <v>0</v>
      </c>
      <c r="BS38" s="33">
        <f t="shared" si="274"/>
        <v>0</v>
      </c>
      <c r="BT38" s="33">
        <f t="shared" si="274"/>
        <v>25000</v>
      </c>
      <c r="BU38" s="33">
        <f t="shared" si="274"/>
        <v>0</v>
      </c>
      <c r="BV38" s="34">
        <f t="shared" si="274"/>
        <v>0</v>
      </c>
      <c r="BW38" s="59">
        <f t="shared" si="192"/>
        <v>0</v>
      </c>
      <c r="BX38" s="69">
        <v>25000</v>
      </c>
      <c r="BY38" s="68">
        <v>0.5</v>
      </c>
      <c r="BZ38" s="31"/>
      <c r="CA38" s="12"/>
      <c r="CB38" s="12"/>
      <c r="CC38" s="12"/>
      <c r="CD38" s="15">
        <v>0.5</v>
      </c>
      <c r="CE38" s="15"/>
      <c r="CF38" s="15"/>
      <c r="CG38" s="61">
        <f t="shared" si="5"/>
        <v>0</v>
      </c>
      <c r="CH38" s="66">
        <f t="shared" si="47"/>
        <v>0</v>
      </c>
      <c r="CI38" s="12">
        <f t="shared" si="47"/>
        <v>0</v>
      </c>
      <c r="CJ38" s="12">
        <f t="shared" si="47"/>
        <v>0</v>
      </c>
      <c r="CK38" s="12">
        <f t="shared" si="47"/>
        <v>0</v>
      </c>
      <c r="CL38" s="12">
        <f t="shared" si="47"/>
        <v>25000</v>
      </c>
      <c r="CM38" s="12">
        <f t="shared" si="47"/>
        <v>0</v>
      </c>
      <c r="CN38" s="16">
        <f t="shared" si="47"/>
        <v>0</v>
      </c>
      <c r="CO38" s="59">
        <f t="shared" si="193"/>
        <v>0</v>
      </c>
      <c r="CP38" s="69">
        <v>25000</v>
      </c>
      <c r="CQ38" s="68">
        <v>0.5</v>
      </c>
      <c r="CR38" s="12"/>
      <c r="CS38" s="12"/>
      <c r="CT38" s="12"/>
      <c r="CU38" s="12"/>
      <c r="CV38" s="15">
        <v>0.5</v>
      </c>
      <c r="CW38" s="15"/>
      <c r="CX38" s="15"/>
      <c r="CY38" s="61">
        <f t="shared" si="7"/>
        <v>0</v>
      </c>
      <c r="CZ38" s="66">
        <f t="shared" si="194"/>
        <v>0</v>
      </c>
      <c r="DA38" s="12">
        <f t="shared" si="194"/>
        <v>0</v>
      </c>
      <c r="DB38" s="12">
        <f t="shared" si="194"/>
        <v>0</v>
      </c>
      <c r="DC38" s="12">
        <f t="shared" si="194"/>
        <v>0</v>
      </c>
      <c r="DD38" s="12">
        <f t="shared" si="194"/>
        <v>25000</v>
      </c>
      <c r="DE38" s="12">
        <f t="shared" si="194"/>
        <v>0</v>
      </c>
      <c r="DF38" s="16">
        <f t="shared" si="194"/>
        <v>0</v>
      </c>
      <c r="DG38" s="59">
        <f t="shared" si="195"/>
        <v>0</v>
      </c>
      <c r="DH38" s="69">
        <v>25000</v>
      </c>
      <c r="DI38" s="68">
        <v>0.5</v>
      </c>
      <c r="DJ38" s="12"/>
      <c r="DK38" s="12"/>
      <c r="DL38" s="12"/>
      <c r="DM38" s="12"/>
      <c r="DN38" s="15">
        <v>0.5</v>
      </c>
      <c r="DO38" s="15"/>
      <c r="DP38" s="15"/>
      <c r="DQ38" s="61">
        <f t="shared" si="9"/>
        <v>0</v>
      </c>
      <c r="DR38" s="66">
        <f t="shared" si="48"/>
        <v>0</v>
      </c>
      <c r="DS38" s="12">
        <f t="shared" si="48"/>
        <v>0</v>
      </c>
      <c r="DT38" s="12">
        <f t="shared" si="48"/>
        <v>0</v>
      </c>
      <c r="DU38" s="12">
        <f t="shared" si="48"/>
        <v>0</v>
      </c>
      <c r="DV38" s="12">
        <f t="shared" si="48"/>
        <v>25000</v>
      </c>
      <c r="DW38" s="12">
        <f t="shared" si="48"/>
        <v>0</v>
      </c>
      <c r="DX38" s="16">
        <f t="shared" si="48"/>
        <v>0</v>
      </c>
      <c r="DY38" s="59">
        <f t="shared" si="196"/>
        <v>0</v>
      </c>
      <c r="DZ38" s="69">
        <v>25000</v>
      </c>
      <c r="EA38" s="68">
        <v>0.5</v>
      </c>
      <c r="EB38" s="12"/>
      <c r="EC38" s="12"/>
      <c r="ED38" s="12"/>
      <c r="EE38" s="15"/>
      <c r="EF38" s="15"/>
      <c r="EG38" s="15">
        <v>0.5</v>
      </c>
      <c r="EH38" s="61">
        <f t="shared" si="197"/>
        <v>0</v>
      </c>
      <c r="EI38" s="66">
        <f t="shared" si="275"/>
        <v>0</v>
      </c>
      <c r="EJ38" s="12">
        <f t="shared" si="275"/>
        <v>0</v>
      </c>
      <c r="EK38" s="12">
        <f t="shared" si="275"/>
        <v>0</v>
      </c>
      <c r="EL38" s="12">
        <f t="shared" si="275"/>
        <v>0</v>
      </c>
      <c r="EM38" s="12">
        <f t="shared" si="275"/>
        <v>0</v>
      </c>
      <c r="EN38" s="16">
        <f t="shared" si="275"/>
        <v>25000</v>
      </c>
      <c r="EO38" s="59">
        <f t="shared" si="198"/>
        <v>0</v>
      </c>
      <c r="EP38" s="69">
        <v>25000</v>
      </c>
      <c r="EQ38" s="68">
        <v>0.5</v>
      </c>
      <c r="ER38" s="12"/>
      <c r="ES38" s="12"/>
      <c r="ET38" s="15"/>
      <c r="EU38" s="15">
        <v>0.5</v>
      </c>
      <c r="EV38" s="61">
        <f t="shared" si="199"/>
        <v>0</v>
      </c>
      <c r="EW38" s="66">
        <f t="shared" si="49"/>
        <v>0</v>
      </c>
      <c r="EX38" s="12">
        <f t="shared" si="49"/>
        <v>0</v>
      </c>
      <c r="EY38" s="12">
        <f t="shared" si="49"/>
        <v>0</v>
      </c>
      <c r="EZ38" s="16">
        <f t="shared" si="49"/>
        <v>25000</v>
      </c>
      <c r="FA38" s="59">
        <f t="shared" si="200"/>
        <v>0</v>
      </c>
      <c r="FB38" s="69">
        <v>25000</v>
      </c>
      <c r="FC38" s="68">
        <v>0.5</v>
      </c>
      <c r="FD38" s="12"/>
      <c r="FE38" s="15"/>
      <c r="FF38" s="15">
        <v>0.5</v>
      </c>
      <c r="FG38" s="61">
        <f t="shared" si="201"/>
        <v>0</v>
      </c>
      <c r="FH38" s="66">
        <f t="shared" si="50"/>
        <v>0</v>
      </c>
      <c r="FI38" s="12">
        <f t="shared" si="50"/>
        <v>0</v>
      </c>
      <c r="FJ38" s="16">
        <f t="shared" si="50"/>
        <v>25000</v>
      </c>
      <c r="FK38" s="59">
        <f t="shared" si="202"/>
        <v>0</v>
      </c>
      <c r="FL38" s="69">
        <v>25000</v>
      </c>
      <c r="FM38" s="68">
        <v>0.5</v>
      </c>
      <c r="FN38" s="12"/>
      <c r="FO38" s="15"/>
      <c r="FP38" s="15"/>
      <c r="FQ38" s="15"/>
      <c r="FR38" s="15">
        <v>0.5</v>
      </c>
      <c r="FS38" s="61">
        <f t="shared" si="203"/>
        <v>0</v>
      </c>
      <c r="FT38" s="66">
        <f t="shared" si="204"/>
        <v>0</v>
      </c>
      <c r="FU38" s="12">
        <f t="shared" si="205"/>
        <v>0</v>
      </c>
      <c r="FV38" s="12">
        <f t="shared" si="206"/>
        <v>0</v>
      </c>
      <c r="FW38" s="12">
        <f t="shared" si="207"/>
        <v>0</v>
      </c>
      <c r="FX38" s="16">
        <f t="shared" si="51"/>
        <v>25000</v>
      </c>
      <c r="FY38" s="59">
        <f t="shared" si="52"/>
        <v>0</v>
      </c>
      <c r="FZ38" s="69">
        <v>25000</v>
      </c>
      <c r="GA38" s="68">
        <v>0.5</v>
      </c>
      <c r="GB38" s="12">
        <v>0.5</v>
      </c>
      <c r="GC38" s="15"/>
      <c r="GD38" s="15"/>
      <c r="GE38" s="15"/>
      <c r="GF38" s="61">
        <f t="shared" si="208"/>
        <v>0</v>
      </c>
      <c r="GG38" s="66">
        <f t="shared" si="53"/>
        <v>25000</v>
      </c>
      <c r="GH38" s="66">
        <f>IF($GA38&lt;&gt;0,GB38*$FZ38/$GA38,0)</f>
        <v>25000</v>
      </c>
      <c r="GI38" s="12">
        <f t="shared" si="289"/>
        <v>0</v>
      </c>
      <c r="GJ38" s="12">
        <f t="shared" si="179"/>
        <v>0</v>
      </c>
      <c r="GK38" s="31">
        <f t="shared" si="290"/>
        <v>0</v>
      </c>
      <c r="GL38" s="123">
        <f t="shared" si="291"/>
        <v>0</v>
      </c>
      <c r="GM38" s="410">
        <f t="shared" si="16"/>
        <v>0</v>
      </c>
      <c r="GN38" s="414">
        <v>25000</v>
      </c>
      <c r="GO38" s="68">
        <v>0.5</v>
      </c>
      <c r="GP38" s="12">
        <v>0.5</v>
      </c>
      <c r="GQ38" s="15"/>
      <c r="GR38" s="15"/>
      <c r="GS38" s="15"/>
      <c r="GT38" s="15"/>
      <c r="GU38" s="61">
        <f t="shared" si="54"/>
        <v>0</v>
      </c>
      <c r="GV38" s="66">
        <f t="shared" si="17"/>
        <v>25000</v>
      </c>
      <c r="GW38" s="12">
        <f t="shared" si="18"/>
        <v>0</v>
      </c>
      <c r="GX38" s="12">
        <f t="shared" si="19"/>
        <v>0</v>
      </c>
      <c r="GY38" s="12">
        <f t="shared" si="20"/>
        <v>0</v>
      </c>
      <c r="GZ38" s="16">
        <f t="shared" si="21"/>
        <v>0</v>
      </c>
      <c r="HA38" s="59">
        <f t="shared" si="55"/>
        <v>0</v>
      </c>
      <c r="HB38" s="69">
        <v>30000</v>
      </c>
      <c r="HC38" s="68">
        <v>0.5</v>
      </c>
      <c r="HD38" s="12"/>
      <c r="HE38" s="15"/>
      <c r="HF38" s="15"/>
      <c r="HG38" s="15"/>
      <c r="HH38" s="15">
        <v>0.5</v>
      </c>
      <c r="HI38" s="15"/>
      <c r="HJ38" s="15"/>
      <c r="HK38" s="15"/>
      <c r="HL38" s="61">
        <f t="shared" si="56"/>
        <v>0</v>
      </c>
      <c r="HM38" s="66">
        <f t="shared" si="22"/>
        <v>0</v>
      </c>
      <c r="HN38" s="12">
        <f t="shared" si="23"/>
        <v>0</v>
      </c>
      <c r="HO38" s="12">
        <f t="shared" si="24"/>
        <v>0</v>
      </c>
      <c r="HP38" s="12">
        <f t="shared" si="25"/>
        <v>0</v>
      </c>
      <c r="HQ38" s="12">
        <f t="shared" si="26"/>
        <v>30000</v>
      </c>
      <c r="HR38" s="12">
        <f t="shared" si="27"/>
        <v>0</v>
      </c>
      <c r="HS38" s="12">
        <f t="shared" si="28"/>
        <v>0</v>
      </c>
      <c r="HT38" s="16">
        <f t="shared" si="29"/>
        <v>0</v>
      </c>
      <c r="HU38" s="59">
        <f t="shared" si="57"/>
        <v>0</v>
      </c>
      <c r="HV38" s="69">
        <v>25000</v>
      </c>
      <c r="HW38" s="68">
        <v>0.5</v>
      </c>
      <c r="HX38" s="12"/>
      <c r="HY38" s="15"/>
      <c r="HZ38" s="61">
        <f t="shared" si="58"/>
        <v>0.5</v>
      </c>
      <c r="IA38" s="66">
        <f t="shared" si="59"/>
        <v>0</v>
      </c>
      <c r="IB38" s="16">
        <f t="shared" si="59"/>
        <v>0</v>
      </c>
      <c r="IC38" s="59">
        <f t="shared" si="60"/>
        <v>25000</v>
      </c>
      <c r="ID38" s="129">
        <f>1428.57+24242.4</f>
        <v>25670.97</v>
      </c>
      <c r="IE38" s="68">
        <v>0.5</v>
      </c>
      <c r="IF38" s="12"/>
      <c r="IG38" s="15"/>
      <c r="IH38" s="15"/>
      <c r="II38" s="15"/>
      <c r="IJ38" s="15">
        <v>0.5</v>
      </c>
      <c r="IK38" s="15"/>
      <c r="IL38" s="15"/>
      <c r="IM38" s="15"/>
      <c r="IN38" s="15"/>
      <c r="IO38" s="61">
        <f t="shared" si="61"/>
        <v>0</v>
      </c>
      <c r="IP38" s="66">
        <f t="shared" si="62"/>
        <v>0</v>
      </c>
      <c r="IQ38" s="12">
        <f t="shared" si="63"/>
        <v>0</v>
      </c>
      <c r="IR38" s="12">
        <f t="shared" si="64"/>
        <v>0</v>
      </c>
      <c r="IS38" s="12">
        <f t="shared" si="65"/>
        <v>0</v>
      </c>
      <c r="IT38" s="12">
        <f t="shared" si="66"/>
        <v>25670.97</v>
      </c>
      <c r="IU38" s="12">
        <f t="shared" si="67"/>
        <v>0</v>
      </c>
      <c r="IV38" s="12">
        <f t="shared" si="68"/>
        <v>0</v>
      </c>
      <c r="IW38" s="15">
        <f t="shared" si="69"/>
        <v>0</v>
      </c>
      <c r="IX38" s="16">
        <f t="shared" si="69"/>
        <v>0</v>
      </c>
      <c r="IY38" s="59">
        <f t="shared" si="70"/>
        <v>0</v>
      </c>
      <c r="IZ38" s="129">
        <v>30000</v>
      </c>
      <c r="JA38" s="68">
        <v>0.5</v>
      </c>
      <c r="JB38" s="12"/>
      <c r="JC38" s="15"/>
      <c r="JD38" s="15"/>
      <c r="JE38" s="15"/>
      <c r="JF38" s="15">
        <v>0.5</v>
      </c>
      <c r="JG38" s="15"/>
      <c r="JH38" s="15"/>
      <c r="JI38" s="15"/>
      <c r="JJ38" s="15"/>
      <c r="JK38" s="61">
        <f t="shared" si="71"/>
        <v>0</v>
      </c>
      <c r="JL38" s="66">
        <f t="shared" si="72"/>
        <v>0</v>
      </c>
      <c r="JM38" s="12">
        <f t="shared" si="276"/>
        <v>0</v>
      </c>
      <c r="JN38" s="12">
        <f t="shared" si="277"/>
        <v>0</v>
      </c>
      <c r="JO38" s="12">
        <f t="shared" si="278"/>
        <v>0</v>
      </c>
      <c r="JP38" s="12">
        <f t="shared" si="279"/>
        <v>30000</v>
      </c>
      <c r="JQ38" s="12">
        <f t="shared" si="280"/>
        <v>0</v>
      </c>
      <c r="JR38" s="12">
        <f t="shared" si="281"/>
        <v>0</v>
      </c>
      <c r="JS38" s="12">
        <f t="shared" si="282"/>
        <v>0</v>
      </c>
      <c r="JT38" s="16">
        <f t="shared" si="283"/>
        <v>0</v>
      </c>
      <c r="JU38" s="59">
        <f t="shared" si="81"/>
        <v>0</v>
      </c>
      <c r="JV38" s="129">
        <v>30000</v>
      </c>
      <c r="JW38" s="68">
        <v>0.5</v>
      </c>
      <c r="JX38" s="12"/>
      <c r="JY38" s="12"/>
      <c r="JZ38" s="15"/>
      <c r="KA38" s="15"/>
      <c r="KB38" s="15">
        <v>0.5</v>
      </c>
      <c r="KC38" s="15"/>
      <c r="KD38" s="15"/>
      <c r="KE38" s="15"/>
      <c r="KF38" s="15"/>
      <c r="KG38" s="61">
        <f t="shared" si="82"/>
        <v>0</v>
      </c>
      <c r="KH38" s="146">
        <f t="shared" si="83"/>
        <v>0</v>
      </c>
      <c r="KI38" s="12">
        <f t="shared" si="83"/>
        <v>0</v>
      </c>
      <c r="KJ38" s="12">
        <f t="shared" si="84"/>
        <v>0</v>
      </c>
      <c r="KK38" s="12">
        <f t="shared" si="85"/>
        <v>0</v>
      </c>
      <c r="KL38" s="12">
        <f t="shared" si="86"/>
        <v>30000</v>
      </c>
      <c r="KM38" s="12">
        <f t="shared" si="87"/>
        <v>0</v>
      </c>
      <c r="KN38" s="12">
        <f t="shared" si="88"/>
        <v>0</v>
      </c>
      <c r="KO38" s="12">
        <f t="shared" si="89"/>
        <v>0</v>
      </c>
      <c r="KP38" s="16">
        <f t="shared" si="90"/>
        <v>0</v>
      </c>
      <c r="KQ38" s="59">
        <f t="shared" si="91"/>
        <v>0</v>
      </c>
      <c r="KR38" s="129">
        <v>30000</v>
      </c>
      <c r="KS38" s="68">
        <v>0.5</v>
      </c>
      <c r="KT38" s="12"/>
      <c r="KU38" s="15"/>
      <c r="KV38" s="15"/>
      <c r="KW38" s="15">
        <v>0.5</v>
      </c>
      <c r="KX38" s="15"/>
      <c r="KY38" s="15"/>
      <c r="KZ38" s="15"/>
      <c r="LA38" s="15"/>
      <c r="LB38" s="61">
        <f t="shared" si="92"/>
        <v>0</v>
      </c>
      <c r="LC38" s="66">
        <f t="shared" si="93"/>
        <v>0</v>
      </c>
      <c r="LD38" s="12">
        <f t="shared" si="94"/>
        <v>0</v>
      </c>
      <c r="LE38" s="12">
        <f t="shared" si="95"/>
        <v>0</v>
      </c>
      <c r="LF38" s="12">
        <f t="shared" si="96"/>
        <v>30000</v>
      </c>
      <c r="LG38" s="12">
        <f t="shared" si="97"/>
        <v>0</v>
      </c>
      <c r="LH38" s="12">
        <f t="shared" si="98"/>
        <v>0</v>
      </c>
      <c r="LI38" s="12">
        <f t="shared" si="99"/>
        <v>0</v>
      </c>
      <c r="LJ38" s="16">
        <f t="shared" si="100"/>
        <v>0</v>
      </c>
      <c r="LK38" s="59">
        <f t="shared" si="101"/>
        <v>0</v>
      </c>
      <c r="LL38" s="129">
        <v>30000</v>
      </c>
      <c r="LM38" s="68">
        <v>0.5</v>
      </c>
      <c r="LN38" s="15"/>
      <c r="LO38" s="15"/>
      <c r="LP38" s="15">
        <v>0.5</v>
      </c>
      <c r="LQ38" s="15"/>
      <c r="LR38" s="15"/>
      <c r="LS38" s="15"/>
      <c r="LT38" s="15"/>
      <c r="LU38" s="61">
        <f t="shared" si="102"/>
        <v>0</v>
      </c>
      <c r="LV38" s="66">
        <f t="shared" si="103"/>
        <v>0</v>
      </c>
      <c r="LW38" s="12">
        <f t="shared" si="104"/>
        <v>0</v>
      </c>
      <c r="LX38" s="12">
        <f t="shared" si="105"/>
        <v>30000</v>
      </c>
      <c r="LY38" s="12">
        <f t="shared" si="106"/>
        <v>0</v>
      </c>
      <c r="LZ38" s="12">
        <f t="shared" si="107"/>
        <v>0</v>
      </c>
      <c r="MA38" s="12">
        <f t="shared" si="108"/>
        <v>0</v>
      </c>
      <c r="MB38" s="16">
        <f t="shared" si="109"/>
        <v>0</v>
      </c>
      <c r="MC38" s="59">
        <f t="shared" si="110"/>
        <v>0</v>
      </c>
      <c r="MD38" s="129">
        <v>30000</v>
      </c>
      <c r="ME38" s="68">
        <v>0.5</v>
      </c>
      <c r="MF38" s="15"/>
      <c r="MG38" s="15">
        <v>0.5</v>
      </c>
      <c r="MH38" s="15"/>
      <c r="MI38" s="15"/>
      <c r="MJ38" s="15"/>
      <c r="MK38" s="15"/>
      <c r="ML38" s="15"/>
      <c r="MM38" s="61">
        <f t="shared" si="111"/>
        <v>0</v>
      </c>
      <c r="MN38" s="66">
        <f t="shared" si="112"/>
        <v>0</v>
      </c>
      <c r="MO38" s="12">
        <f t="shared" si="113"/>
        <v>30000</v>
      </c>
      <c r="MP38" s="12">
        <f t="shared" si="114"/>
        <v>0</v>
      </c>
      <c r="MQ38" s="12">
        <f t="shared" si="115"/>
        <v>0</v>
      </c>
      <c r="MR38" s="12">
        <f t="shared" si="116"/>
        <v>0</v>
      </c>
      <c r="MS38" s="12">
        <f t="shared" si="116"/>
        <v>0</v>
      </c>
      <c r="MT38" s="16">
        <f t="shared" si="117"/>
        <v>0</v>
      </c>
      <c r="MU38" s="59">
        <f t="shared" si="189"/>
        <v>0</v>
      </c>
      <c r="MV38" s="617">
        <v>30000</v>
      </c>
      <c r="MW38" s="619">
        <v>0.5</v>
      </c>
      <c r="MX38" s="15"/>
      <c r="MY38" s="15">
        <v>0.5</v>
      </c>
      <c r="MZ38" s="15"/>
      <c r="NA38" s="15"/>
      <c r="NB38" s="15"/>
      <c r="NC38" s="15"/>
      <c r="ND38" s="15"/>
      <c r="NE38" s="61">
        <f t="shared" si="118"/>
        <v>0</v>
      </c>
      <c r="NF38" s="66">
        <f t="shared" si="119"/>
        <v>0</v>
      </c>
      <c r="NG38" s="12">
        <f t="shared" si="120"/>
        <v>30000</v>
      </c>
      <c r="NH38" s="12">
        <f t="shared" si="121"/>
        <v>0</v>
      </c>
      <c r="NI38" s="12">
        <f t="shared" si="122"/>
        <v>0</v>
      </c>
      <c r="NJ38" s="12">
        <f t="shared" si="123"/>
        <v>0</v>
      </c>
      <c r="NK38" s="12">
        <f t="shared" si="123"/>
        <v>0</v>
      </c>
      <c r="NL38" s="16">
        <f t="shared" si="124"/>
        <v>0</v>
      </c>
      <c r="NM38" s="59">
        <f t="shared" si="125"/>
        <v>0</v>
      </c>
      <c r="NN38" s="617">
        <v>30000</v>
      </c>
      <c r="NO38" s="619">
        <v>0.5</v>
      </c>
      <c r="NP38" s="15"/>
      <c r="NQ38" s="15"/>
      <c r="NR38" s="15"/>
      <c r="NS38" s="15"/>
      <c r="NT38" s="15"/>
      <c r="NU38" s="61">
        <f t="shared" si="126"/>
        <v>0.5</v>
      </c>
      <c r="NV38" s="66">
        <f t="shared" si="190"/>
        <v>0</v>
      </c>
      <c r="NW38" s="12">
        <f t="shared" si="209"/>
        <v>0</v>
      </c>
      <c r="NX38" s="12">
        <f t="shared" si="210"/>
        <v>0</v>
      </c>
      <c r="NY38" s="12">
        <f t="shared" si="211"/>
        <v>0</v>
      </c>
      <c r="NZ38" s="16">
        <f t="shared" si="212"/>
        <v>0</v>
      </c>
      <c r="OA38" s="59">
        <f t="shared" si="131"/>
        <v>30000</v>
      </c>
      <c r="OB38" s="131">
        <v>30000</v>
      </c>
      <c r="OC38" s="133">
        <v>0.5</v>
      </c>
      <c r="OD38" s="15"/>
      <c r="OE38" s="15"/>
      <c r="OF38" s="15"/>
      <c r="OG38" s="15"/>
      <c r="OH38" s="15"/>
      <c r="OI38" s="61">
        <f t="shared" si="163"/>
        <v>0.5</v>
      </c>
      <c r="OJ38" s="66">
        <f t="shared" si="132"/>
        <v>0</v>
      </c>
      <c r="OK38" s="12">
        <f t="shared" si="133"/>
        <v>0</v>
      </c>
      <c r="OL38" s="12">
        <f t="shared" si="134"/>
        <v>0</v>
      </c>
      <c r="OM38" s="12">
        <f t="shared" si="135"/>
        <v>0</v>
      </c>
      <c r="ON38" s="16">
        <f t="shared" si="136"/>
        <v>0</v>
      </c>
      <c r="OO38" s="59">
        <f t="shared" si="137"/>
        <v>30000</v>
      </c>
      <c r="OP38" s="131">
        <v>30000</v>
      </c>
      <c r="OQ38" s="133">
        <v>0.5</v>
      </c>
      <c r="OR38" s="15"/>
      <c r="OS38" s="15"/>
      <c r="OT38" s="15"/>
      <c r="OU38" s="15"/>
      <c r="OV38" s="15"/>
      <c r="OW38" s="61">
        <f t="shared" si="138"/>
        <v>0.5</v>
      </c>
      <c r="OX38" s="66">
        <f t="shared" si="139"/>
        <v>0</v>
      </c>
      <c r="OY38" s="12">
        <f t="shared" si="140"/>
        <v>0</v>
      </c>
      <c r="OZ38" s="12">
        <f t="shared" si="141"/>
        <v>0</v>
      </c>
      <c r="PA38" s="12">
        <f t="shared" si="142"/>
        <v>0</v>
      </c>
      <c r="PB38" s="16">
        <f t="shared" si="143"/>
        <v>0</v>
      </c>
      <c r="PC38" s="59">
        <f t="shared" si="144"/>
        <v>30000</v>
      </c>
      <c r="PD38" s="131">
        <v>30000</v>
      </c>
      <c r="PE38" s="133">
        <v>0.5</v>
      </c>
      <c r="PF38" s="15"/>
      <c r="PG38" s="15"/>
      <c r="PH38" s="15"/>
      <c r="PI38" s="15"/>
      <c r="PJ38" s="15"/>
      <c r="PK38" s="61">
        <f t="shared" si="145"/>
        <v>0.5</v>
      </c>
      <c r="PL38" s="66">
        <f t="shared" si="174"/>
        <v>0</v>
      </c>
      <c r="PM38" s="12">
        <f t="shared" si="175"/>
        <v>0</v>
      </c>
      <c r="PN38" s="12">
        <f t="shared" si="176"/>
        <v>0</v>
      </c>
      <c r="PO38" s="12">
        <f t="shared" si="177"/>
        <v>0</v>
      </c>
      <c r="PP38" s="16">
        <f t="shared" si="178"/>
        <v>0</v>
      </c>
      <c r="PQ38" s="59">
        <f t="shared" si="150"/>
        <v>30000</v>
      </c>
      <c r="PS38" s="884">
        <f t="shared" si="151"/>
        <v>0</v>
      </c>
    </row>
    <row r="39" spans="2:435" x14ac:dyDescent="0.2">
      <c r="B39" s="24">
        <v>28</v>
      </c>
      <c r="C39" s="872" t="s">
        <v>291</v>
      </c>
      <c r="D39" s="26"/>
      <c r="E39" s="42"/>
      <c r="F39" s="31"/>
      <c r="G39" s="12"/>
      <c r="H39" s="12"/>
      <c r="I39" s="12"/>
      <c r="J39" s="12"/>
      <c r="K39" s="12"/>
      <c r="L39" s="15"/>
      <c r="M39" s="61"/>
      <c r="N39" s="31"/>
      <c r="O39" s="12"/>
      <c r="P39" s="12"/>
      <c r="Q39" s="12"/>
      <c r="R39" s="12"/>
      <c r="S39" s="12"/>
      <c r="T39" s="15"/>
      <c r="U39" s="59"/>
      <c r="V39" s="26"/>
      <c r="W39" s="42"/>
      <c r="X39" s="31"/>
      <c r="Y39" s="12"/>
      <c r="Z39" s="12"/>
      <c r="AA39" s="12"/>
      <c r="AB39" s="12"/>
      <c r="AC39" s="12"/>
      <c r="AD39" s="15"/>
      <c r="AE39" s="15"/>
      <c r="AF39" s="61"/>
      <c r="AG39" s="35"/>
      <c r="AH39" s="35"/>
      <c r="AI39" s="35"/>
      <c r="AJ39" s="35"/>
      <c r="AK39" s="35"/>
      <c r="AL39" s="35"/>
      <c r="AM39" s="35"/>
      <c r="AN39" s="35"/>
      <c r="AO39" s="62"/>
      <c r="AP39" s="26"/>
      <c r="AQ39" s="42"/>
      <c r="AR39" s="12"/>
      <c r="AS39" s="12"/>
      <c r="AT39" s="12"/>
      <c r="AU39" s="12"/>
      <c r="AV39" s="15"/>
      <c r="AW39" s="15"/>
      <c r="AX39" s="61"/>
      <c r="AY39" s="35"/>
      <c r="AZ39" s="35"/>
      <c r="BA39" s="35"/>
      <c r="BB39" s="35"/>
      <c r="BC39" s="35"/>
      <c r="BD39" s="34"/>
      <c r="BE39" s="59"/>
      <c r="BF39" s="26"/>
      <c r="BG39" s="42"/>
      <c r="BH39" s="12"/>
      <c r="BI39" s="12"/>
      <c r="BJ39" s="12"/>
      <c r="BK39" s="12"/>
      <c r="BL39" s="15"/>
      <c r="BM39" s="15"/>
      <c r="BN39" s="15"/>
      <c r="BO39" s="61"/>
      <c r="BP39" s="65"/>
      <c r="BQ39" s="33"/>
      <c r="BR39" s="33"/>
      <c r="BS39" s="33"/>
      <c r="BT39" s="33"/>
      <c r="BU39" s="33"/>
      <c r="BV39" s="34"/>
      <c r="BW39" s="59"/>
      <c r="BX39" s="27"/>
      <c r="BY39" s="68"/>
      <c r="BZ39" s="31"/>
      <c r="CA39" s="12"/>
      <c r="CB39" s="12"/>
      <c r="CC39" s="12"/>
      <c r="CD39" s="15"/>
      <c r="CE39" s="15"/>
      <c r="CF39" s="15"/>
      <c r="CG39" s="61"/>
      <c r="CH39" s="66"/>
      <c r="CI39" s="12"/>
      <c r="CJ39" s="12"/>
      <c r="CK39" s="12"/>
      <c r="CL39" s="12"/>
      <c r="CM39" s="12"/>
      <c r="CN39" s="16"/>
      <c r="CO39" s="59"/>
      <c r="CP39" s="27"/>
      <c r="CQ39" s="68"/>
      <c r="CR39" s="12"/>
      <c r="CS39" s="12"/>
      <c r="CT39" s="12"/>
      <c r="CU39" s="12"/>
      <c r="CV39" s="15"/>
      <c r="CW39" s="15"/>
      <c r="CX39" s="15"/>
      <c r="CY39" s="61"/>
      <c r="CZ39" s="66"/>
      <c r="DA39" s="12"/>
      <c r="DB39" s="12"/>
      <c r="DC39" s="12"/>
      <c r="DD39" s="12"/>
      <c r="DE39" s="12"/>
      <c r="DF39" s="16"/>
      <c r="DG39" s="59"/>
      <c r="DH39" s="27"/>
      <c r="DI39" s="68"/>
      <c r="DJ39" s="12"/>
      <c r="DK39" s="12"/>
      <c r="DL39" s="12"/>
      <c r="DM39" s="12"/>
      <c r="DN39" s="15"/>
      <c r="DO39" s="15"/>
      <c r="DP39" s="15"/>
      <c r="DQ39" s="61"/>
      <c r="DR39" s="66"/>
      <c r="DS39" s="12"/>
      <c r="DT39" s="12"/>
      <c r="DU39" s="12"/>
      <c r="DV39" s="12"/>
      <c r="DW39" s="12"/>
      <c r="DX39" s="16"/>
      <c r="DY39" s="59"/>
      <c r="DZ39" s="27"/>
      <c r="EA39" s="68"/>
      <c r="EB39" s="12"/>
      <c r="EC39" s="12"/>
      <c r="ED39" s="12"/>
      <c r="EE39" s="15"/>
      <c r="EF39" s="15"/>
      <c r="EG39" s="15"/>
      <c r="EH39" s="61"/>
      <c r="EI39" s="66"/>
      <c r="EJ39" s="12"/>
      <c r="EK39" s="12"/>
      <c r="EL39" s="12"/>
      <c r="EM39" s="12"/>
      <c r="EN39" s="16"/>
      <c r="EO39" s="59"/>
      <c r="EP39" s="27"/>
      <c r="EQ39" s="68"/>
      <c r="ER39" s="12"/>
      <c r="ES39" s="12"/>
      <c r="ET39" s="15"/>
      <c r="EU39" s="15"/>
      <c r="EV39" s="61"/>
      <c r="EW39" s="66"/>
      <c r="EX39" s="12"/>
      <c r="EY39" s="12"/>
      <c r="EZ39" s="16"/>
      <c r="FA39" s="59"/>
      <c r="FB39" s="27"/>
      <c r="FC39" s="68"/>
      <c r="FD39" s="12"/>
      <c r="FE39" s="15"/>
      <c r="FF39" s="15"/>
      <c r="FG39" s="61"/>
      <c r="FH39" s="66"/>
      <c r="FI39" s="12"/>
      <c r="FJ39" s="16"/>
      <c r="FK39" s="59"/>
      <c r="FL39" s="27"/>
      <c r="FM39" s="68"/>
      <c r="FN39" s="12"/>
      <c r="FO39" s="15"/>
      <c r="FP39" s="15"/>
      <c r="FQ39" s="15"/>
      <c r="FR39" s="15"/>
      <c r="FS39" s="61"/>
      <c r="FT39" s="66"/>
      <c r="FU39" s="12"/>
      <c r="FV39" s="12"/>
      <c r="FW39" s="12"/>
      <c r="FX39" s="16"/>
      <c r="FY39" s="59"/>
      <c r="FZ39" s="27"/>
      <c r="GA39" s="68"/>
      <c r="GB39" s="12"/>
      <c r="GC39" s="15"/>
      <c r="GD39" s="15"/>
      <c r="GE39" s="15"/>
      <c r="GF39" s="61"/>
      <c r="GG39" s="66"/>
      <c r="GH39" s="66"/>
      <c r="GI39" s="12"/>
      <c r="GJ39" s="12"/>
      <c r="GK39" s="31"/>
      <c r="GL39" s="123"/>
      <c r="GM39" s="410"/>
      <c r="GN39" s="414"/>
      <c r="GO39" s="68"/>
      <c r="GP39" s="12"/>
      <c r="GQ39" s="15"/>
      <c r="GR39" s="15"/>
      <c r="GS39" s="15"/>
      <c r="GT39" s="15"/>
      <c r="GU39" s="61"/>
      <c r="GV39" s="66"/>
      <c r="GW39" s="12"/>
      <c r="GX39" s="12"/>
      <c r="GY39" s="12"/>
      <c r="GZ39" s="16"/>
      <c r="HA39" s="59"/>
      <c r="HB39" s="27"/>
      <c r="HC39" s="68"/>
      <c r="HD39" s="12"/>
      <c r="HE39" s="15"/>
      <c r="HF39" s="15"/>
      <c r="HG39" s="15"/>
      <c r="HH39" s="15"/>
      <c r="HI39" s="15"/>
      <c r="HJ39" s="15"/>
      <c r="HK39" s="15"/>
      <c r="HL39" s="61"/>
      <c r="HM39" s="66"/>
      <c r="HN39" s="12"/>
      <c r="HO39" s="12"/>
      <c r="HP39" s="12"/>
      <c r="HQ39" s="12"/>
      <c r="HR39" s="12"/>
      <c r="HS39" s="12"/>
      <c r="HT39" s="16"/>
      <c r="HU39" s="59"/>
      <c r="HV39" s="27"/>
      <c r="HW39" s="68"/>
      <c r="HX39" s="12"/>
      <c r="HY39" s="15"/>
      <c r="HZ39" s="61"/>
      <c r="IA39" s="66"/>
      <c r="IB39" s="16"/>
      <c r="IC39" s="59"/>
      <c r="ID39" s="129"/>
      <c r="IE39" s="68"/>
      <c r="IF39" s="12"/>
      <c r="IG39" s="15"/>
      <c r="IH39" s="15"/>
      <c r="II39" s="15"/>
      <c r="IJ39" s="15"/>
      <c r="IK39" s="15"/>
      <c r="IL39" s="15"/>
      <c r="IM39" s="15"/>
      <c r="IN39" s="15"/>
      <c r="IO39" s="61"/>
      <c r="IP39" s="66"/>
      <c r="IQ39" s="12"/>
      <c r="IR39" s="12"/>
      <c r="IS39" s="12"/>
      <c r="IT39" s="12"/>
      <c r="IU39" s="12"/>
      <c r="IV39" s="12"/>
      <c r="IW39" s="15"/>
      <c r="IX39" s="16"/>
      <c r="IY39" s="59"/>
      <c r="IZ39" s="129"/>
      <c r="JA39" s="68"/>
      <c r="JB39" s="12"/>
      <c r="JC39" s="15"/>
      <c r="JD39" s="15"/>
      <c r="JE39" s="15"/>
      <c r="JF39" s="15"/>
      <c r="JG39" s="15"/>
      <c r="JH39" s="15"/>
      <c r="JI39" s="15"/>
      <c r="JJ39" s="15"/>
      <c r="JK39" s="61"/>
      <c r="JL39" s="66"/>
      <c r="JM39" s="12"/>
      <c r="JN39" s="12"/>
      <c r="JO39" s="12"/>
      <c r="JP39" s="12"/>
      <c r="JQ39" s="12"/>
      <c r="JR39" s="12"/>
      <c r="JS39" s="12"/>
      <c r="JT39" s="16"/>
      <c r="JU39" s="59"/>
      <c r="JV39" s="129"/>
      <c r="JW39" s="68"/>
      <c r="JX39" s="12"/>
      <c r="JY39" s="12"/>
      <c r="JZ39" s="15"/>
      <c r="KA39" s="15"/>
      <c r="KB39" s="15"/>
      <c r="KC39" s="15"/>
      <c r="KD39" s="15"/>
      <c r="KE39" s="15"/>
      <c r="KF39" s="15"/>
      <c r="KG39" s="61"/>
      <c r="KH39" s="146"/>
      <c r="KI39" s="12"/>
      <c r="KJ39" s="12"/>
      <c r="KK39" s="12"/>
      <c r="KL39" s="12"/>
      <c r="KM39" s="12"/>
      <c r="KN39" s="12"/>
      <c r="KO39" s="12"/>
      <c r="KP39" s="16"/>
      <c r="KQ39" s="59"/>
      <c r="KR39" s="129"/>
      <c r="KS39" s="68"/>
      <c r="KT39" s="12"/>
      <c r="KU39" s="15"/>
      <c r="KV39" s="15"/>
      <c r="KW39" s="15"/>
      <c r="KX39" s="15"/>
      <c r="KY39" s="15"/>
      <c r="KZ39" s="15"/>
      <c r="LA39" s="15"/>
      <c r="LB39" s="61"/>
      <c r="LC39" s="66"/>
      <c r="LD39" s="12"/>
      <c r="LE39" s="12"/>
      <c r="LF39" s="12"/>
      <c r="LG39" s="12"/>
      <c r="LH39" s="12"/>
      <c r="LI39" s="12"/>
      <c r="LJ39" s="16"/>
      <c r="LK39" s="59"/>
      <c r="LL39" s="129"/>
      <c r="LM39" s="68"/>
      <c r="LN39" s="15"/>
      <c r="LO39" s="15"/>
      <c r="LP39" s="15"/>
      <c r="LQ39" s="15"/>
      <c r="LR39" s="15"/>
      <c r="LS39" s="15"/>
      <c r="LT39" s="15"/>
      <c r="LU39" s="61"/>
      <c r="LV39" s="66"/>
      <c r="LW39" s="12"/>
      <c r="LX39" s="12"/>
      <c r="LY39" s="12"/>
      <c r="LZ39" s="12"/>
      <c r="MA39" s="12"/>
      <c r="MB39" s="16"/>
      <c r="MC39" s="59"/>
      <c r="MD39" s="129"/>
      <c r="ME39" s="68"/>
      <c r="MF39" s="15"/>
      <c r="MG39" s="15"/>
      <c r="MH39" s="15"/>
      <c r="MI39" s="15"/>
      <c r="MJ39" s="15"/>
      <c r="MK39" s="15"/>
      <c r="ML39" s="15"/>
      <c r="MM39" s="61">
        <f t="shared" si="111"/>
        <v>0</v>
      </c>
      <c r="MN39" s="66"/>
      <c r="MO39" s="12"/>
      <c r="MP39" s="12"/>
      <c r="MQ39" s="12"/>
      <c r="MR39" s="12"/>
      <c r="MS39" s="12"/>
      <c r="MT39" s="16"/>
      <c r="MU39" s="59"/>
      <c r="MV39" s="617">
        <v>20000</v>
      </c>
      <c r="MW39" s="619">
        <v>0.5</v>
      </c>
      <c r="MX39" s="15"/>
      <c r="MY39" s="15"/>
      <c r="MZ39" s="15"/>
      <c r="NA39" s="15"/>
      <c r="NB39" s="15"/>
      <c r="NC39" s="15"/>
      <c r="ND39" s="15"/>
      <c r="NE39" s="61">
        <f t="shared" si="118"/>
        <v>0.5</v>
      </c>
      <c r="NF39" s="66">
        <f t="shared" si="119"/>
        <v>0</v>
      </c>
      <c r="NG39" s="12"/>
      <c r="NH39" s="12">
        <f t="shared" si="121"/>
        <v>0</v>
      </c>
      <c r="NI39" s="12">
        <f t="shared" si="122"/>
        <v>0</v>
      </c>
      <c r="NJ39" s="12">
        <f t="shared" si="123"/>
        <v>0</v>
      </c>
      <c r="NK39" s="12">
        <f t="shared" si="123"/>
        <v>0</v>
      </c>
      <c r="NL39" s="16">
        <f t="shared" si="124"/>
        <v>0</v>
      </c>
      <c r="NM39" s="59">
        <f t="shared" si="125"/>
        <v>20000</v>
      </c>
      <c r="NN39" s="617">
        <v>20000</v>
      </c>
      <c r="NO39" s="619">
        <v>0.5</v>
      </c>
      <c r="NP39" s="15"/>
      <c r="NQ39" s="15"/>
      <c r="NR39" s="15"/>
      <c r="NS39" s="15"/>
      <c r="NT39" s="15"/>
      <c r="NU39" s="61">
        <f t="shared" si="126"/>
        <v>0.5</v>
      </c>
      <c r="NV39" s="66">
        <f t="shared" si="190"/>
        <v>0</v>
      </c>
      <c r="NW39" s="12">
        <f t="shared" si="209"/>
        <v>0</v>
      </c>
      <c r="NX39" s="12">
        <f t="shared" si="210"/>
        <v>0</v>
      </c>
      <c r="NY39" s="12">
        <f t="shared" si="211"/>
        <v>0</v>
      </c>
      <c r="NZ39" s="16">
        <f t="shared" si="212"/>
        <v>0</v>
      </c>
      <c r="OA39" s="59">
        <f t="shared" si="131"/>
        <v>20000</v>
      </c>
      <c r="OB39" s="131">
        <v>20000</v>
      </c>
      <c r="OC39" s="133">
        <v>0.5</v>
      </c>
      <c r="OD39" s="15"/>
      <c r="OE39" s="15"/>
      <c r="OF39" s="15"/>
      <c r="OG39" s="15"/>
      <c r="OH39" s="15"/>
      <c r="OI39" s="61">
        <f t="shared" si="163"/>
        <v>0.5</v>
      </c>
      <c r="OJ39" s="66">
        <f t="shared" si="132"/>
        <v>0</v>
      </c>
      <c r="OK39" s="12">
        <f t="shared" si="133"/>
        <v>0</v>
      </c>
      <c r="OL39" s="12">
        <f t="shared" si="134"/>
        <v>0</v>
      </c>
      <c r="OM39" s="12">
        <f t="shared" si="135"/>
        <v>0</v>
      </c>
      <c r="ON39" s="16">
        <f t="shared" si="136"/>
        <v>0</v>
      </c>
      <c r="OO39" s="59">
        <f t="shared" si="137"/>
        <v>20000</v>
      </c>
      <c r="OP39" s="131">
        <v>20000</v>
      </c>
      <c r="OQ39" s="133">
        <v>0.5</v>
      </c>
      <c r="OR39" s="15"/>
      <c r="OS39" s="15"/>
      <c r="OT39" s="15"/>
      <c r="OU39" s="15"/>
      <c r="OV39" s="15"/>
      <c r="OW39" s="61">
        <f t="shared" si="138"/>
        <v>0.5</v>
      </c>
      <c r="OX39" s="66">
        <f t="shared" si="139"/>
        <v>0</v>
      </c>
      <c r="OY39" s="12">
        <f t="shared" si="140"/>
        <v>0</v>
      </c>
      <c r="OZ39" s="12">
        <f t="shared" si="141"/>
        <v>0</v>
      </c>
      <c r="PA39" s="12">
        <f t="shared" si="142"/>
        <v>0</v>
      </c>
      <c r="PB39" s="16">
        <f t="shared" si="143"/>
        <v>0</v>
      </c>
      <c r="PC39" s="59">
        <f t="shared" si="144"/>
        <v>20000</v>
      </c>
      <c r="PD39" s="131">
        <v>20000</v>
      </c>
      <c r="PE39" s="133">
        <v>0.5</v>
      </c>
      <c r="PF39" s="15"/>
      <c r="PG39" s="15"/>
      <c r="PH39" s="15"/>
      <c r="PI39" s="15"/>
      <c r="PJ39" s="15"/>
      <c r="PK39" s="61">
        <f t="shared" si="145"/>
        <v>0.5</v>
      </c>
      <c r="PL39" s="66">
        <f t="shared" si="174"/>
        <v>0</v>
      </c>
      <c r="PM39" s="12">
        <f t="shared" si="175"/>
        <v>0</v>
      </c>
      <c r="PN39" s="12">
        <f t="shared" si="176"/>
        <v>0</v>
      </c>
      <c r="PO39" s="12">
        <f t="shared" si="177"/>
        <v>0</v>
      </c>
      <c r="PP39" s="16">
        <f t="shared" si="178"/>
        <v>0</v>
      </c>
      <c r="PQ39" s="59">
        <f t="shared" si="150"/>
        <v>20000</v>
      </c>
      <c r="PS39" s="884">
        <f t="shared" si="151"/>
        <v>0</v>
      </c>
    </row>
    <row r="40" spans="2:435" x14ac:dyDescent="0.2">
      <c r="B40" s="24">
        <v>29</v>
      </c>
      <c r="C40" s="25" t="s">
        <v>73</v>
      </c>
      <c r="D40" s="26"/>
      <c r="E40" s="42"/>
      <c r="F40" s="31"/>
      <c r="G40" s="12"/>
      <c r="H40" s="12"/>
      <c r="I40" s="12"/>
      <c r="J40" s="12"/>
      <c r="K40" s="12"/>
      <c r="L40" s="15"/>
      <c r="M40" s="61">
        <f t="shared" si="41"/>
        <v>0</v>
      </c>
      <c r="N40" s="31">
        <f t="shared" ref="N40:T59" si="292">IF($E40&lt;&gt;0,F40*$D40/$E40,0)</f>
        <v>0</v>
      </c>
      <c r="O40" s="12">
        <f t="shared" si="292"/>
        <v>0</v>
      </c>
      <c r="P40" s="12">
        <f t="shared" si="292"/>
        <v>0</v>
      </c>
      <c r="Q40" s="12">
        <f t="shared" si="292"/>
        <v>0</v>
      </c>
      <c r="R40" s="12">
        <f t="shared" si="292"/>
        <v>0</v>
      </c>
      <c r="S40" s="12">
        <f t="shared" si="292"/>
        <v>0</v>
      </c>
      <c r="T40" s="15">
        <f t="shared" si="292"/>
        <v>0</v>
      </c>
      <c r="U40" s="59">
        <f t="shared" si="191"/>
        <v>0</v>
      </c>
      <c r="V40" s="26"/>
      <c r="W40" s="42"/>
      <c r="X40" s="31"/>
      <c r="Y40" s="12"/>
      <c r="Z40" s="12"/>
      <c r="AA40" s="12"/>
      <c r="AB40" s="12"/>
      <c r="AC40" s="12"/>
      <c r="AD40" s="15"/>
      <c r="AE40" s="15"/>
      <c r="AF40" s="61">
        <f t="shared" si="42"/>
        <v>0</v>
      </c>
      <c r="AG40" s="35">
        <f t="shared" si="43"/>
        <v>0</v>
      </c>
      <c r="AH40" s="35">
        <f t="shared" si="43"/>
        <v>0</v>
      </c>
      <c r="AI40" s="35">
        <f t="shared" si="43"/>
        <v>0</v>
      </c>
      <c r="AJ40" s="35">
        <f t="shared" si="43"/>
        <v>0</v>
      </c>
      <c r="AK40" s="35">
        <f t="shared" si="43"/>
        <v>0</v>
      </c>
      <c r="AL40" s="35">
        <f t="shared" si="43"/>
        <v>0</v>
      </c>
      <c r="AM40" s="35">
        <f t="shared" si="43"/>
        <v>0</v>
      </c>
      <c r="AN40" s="35">
        <f t="shared" si="43"/>
        <v>0</v>
      </c>
      <c r="AO40" s="62">
        <f t="shared" si="44"/>
        <v>0</v>
      </c>
      <c r="AP40" s="26"/>
      <c r="AQ40" s="42"/>
      <c r="AR40" s="12"/>
      <c r="AS40" s="12"/>
      <c r="AT40" s="12"/>
      <c r="AU40" s="12"/>
      <c r="AV40" s="15"/>
      <c r="AW40" s="15"/>
      <c r="AX40" s="61">
        <f t="shared" si="45"/>
        <v>0</v>
      </c>
      <c r="AY40" s="35">
        <f t="shared" si="273"/>
        <v>0</v>
      </c>
      <c r="AZ40" s="35">
        <f t="shared" si="273"/>
        <v>0</v>
      </c>
      <c r="BA40" s="35">
        <f t="shared" si="273"/>
        <v>0</v>
      </c>
      <c r="BB40" s="35">
        <f t="shared" si="273"/>
        <v>0</v>
      </c>
      <c r="BC40" s="35">
        <f t="shared" si="273"/>
        <v>0</v>
      </c>
      <c r="BD40" s="34">
        <f t="shared" si="273"/>
        <v>0</v>
      </c>
      <c r="BE40" s="59">
        <f t="shared" si="46"/>
        <v>0</v>
      </c>
      <c r="BF40" s="26"/>
      <c r="BG40" s="42"/>
      <c r="BH40" s="12"/>
      <c r="BI40" s="12"/>
      <c r="BJ40" s="12"/>
      <c r="BK40" s="12"/>
      <c r="BL40" s="15"/>
      <c r="BM40" s="15"/>
      <c r="BN40" s="15"/>
      <c r="BO40" s="61">
        <f t="shared" si="3"/>
        <v>0</v>
      </c>
      <c r="BP40" s="65">
        <f t="shared" si="274"/>
        <v>0</v>
      </c>
      <c r="BQ40" s="33">
        <f t="shared" si="274"/>
        <v>0</v>
      </c>
      <c r="BR40" s="33">
        <f t="shared" si="274"/>
        <v>0</v>
      </c>
      <c r="BS40" s="33">
        <f t="shared" si="274"/>
        <v>0</v>
      </c>
      <c r="BT40" s="33">
        <f t="shared" si="274"/>
        <v>0</v>
      </c>
      <c r="BU40" s="33">
        <f t="shared" si="274"/>
        <v>0</v>
      </c>
      <c r="BV40" s="34">
        <f t="shared" si="274"/>
        <v>0</v>
      </c>
      <c r="BW40" s="59">
        <f t="shared" si="192"/>
        <v>0</v>
      </c>
      <c r="BX40" s="27"/>
      <c r="BY40" s="68"/>
      <c r="BZ40" s="31"/>
      <c r="CA40" s="12"/>
      <c r="CB40" s="12"/>
      <c r="CC40" s="12"/>
      <c r="CD40" s="15"/>
      <c r="CE40" s="15"/>
      <c r="CF40" s="15"/>
      <c r="CG40" s="61">
        <f t="shared" si="5"/>
        <v>0</v>
      </c>
      <c r="CH40" s="66">
        <f t="shared" si="47"/>
        <v>0</v>
      </c>
      <c r="CI40" s="12">
        <f t="shared" si="47"/>
        <v>0</v>
      </c>
      <c r="CJ40" s="12">
        <f t="shared" si="47"/>
        <v>0</v>
      </c>
      <c r="CK40" s="12">
        <f t="shared" si="47"/>
        <v>0</v>
      </c>
      <c r="CL40" s="12">
        <f t="shared" si="47"/>
        <v>0</v>
      </c>
      <c r="CM40" s="12">
        <f t="shared" si="47"/>
        <v>0</v>
      </c>
      <c r="CN40" s="16">
        <f t="shared" si="47"/>
        <v>0</v>
      </c>
      <c r="CO40" s="59">
        <f t="shared" si="193"/>
        <v>0</v>
      </c>
      <c r="CP40" s="27"/>
      <c r="CQ40" s="68"/>
      <c r="CR40" s="12"/>
      <c r="CS40" s="12"/>
      <c r="CT40" s="12"/>
      <c r="CU40" s="12"/>
      <c r="CV40" s="15"/>
      <c r="CW40" s="15"/>
      <c r="CX40" s="15"/>
      <c r="CY40" s="61">
        <f t="shared" si="7"/>
        <v>0</v>
      </c>
      <c r="CZ40" s="66">
        <f t="shared" si="194"/>
        <v>0</v>
      </c>
      <c r="DA40" s="12">
        <f t="shared" si="194"/>
        <v>0</v>
      </c>
      <c r="DB40" s="12">
        <f t="shared" si="194"/>
        <v>0</v>
      </c>
      <c r="DC40" s="12">
        <f t="shared" si="194"/>
        <v>0</v>
      </c>
      <c r="DD40" s="12">
        <f t="shared" si="194"/>
        <v>0</v>
      </c>
      <c r="DE40" s="12">
        <f t="shared" si="194"/>
        <v>0</v>
      </c>
      <c r="DF40" s="16">
        <f t="shared" si="194"/>
        <v>0</v>
      </c>
      <c r="DG40" s="59">
        <f t="shared" si="195"/>
        <v>0</v>
      </c>
      <c r="DH40" s="27">
        <v>22000</v>
      </c>
      <c r="DI40" s="68">
        <v>1</v>
      </c>
      <c r="DJ40" s="12"/>
      <c r="DK40" s="12"/>
      <c r="DL40" s="12"/>
      <c r="DM40" s="12"/>
      <c r="DN40" s="15"/>
      <c r="DO40" s="15">
        <v>1</v>
      </c>
      <c r="DP40" s="15"/>
      <c r="DQ40" s="61">
        <f t="shared" si="9"/>
        <v>0</v>
      </c>
      <c r="DR40" s="66">
        <f t="shared" si="48"/>
        <v>0</v>
      </c>
      <c r="DS40" s="12">
        <f t="shared" si="48"/>
        <v>0</v>
      </c>
      <c r="DT40" s="12">
        <f t="shared" si="48"/>
        <v>0</v>
      </c>
      <c r="DU40" s="12">
        <f t="shared" si="48"/>
        <v>0</v>
      </c>
      <c r="DV40" s="12">
        <f t="shared" si="48"/>
        <v>0</v>
      </c>
      <c r="DW40" s="12">
        <f t="shared" si="48"/>
        <v>22000</v>
      </c>
      <c r="DX40" s="16">
        <f t="shared" si="48"/>
        <v>0</v>
      </c>
      <c r="DY40" s="59">
        <f t="shared" si="196"/>
        <v>0</v>
      </c>
      <c r="DZ40" s="27">
        <v>22000</v>
      </c>
      <c r="EA40" s="68">
        <v>1</v>
      </c>
      <c r="EB40" s="12"/>
      <c r="EC40" s="12"/>
      <c r="ED40" s="12"/>
      <c r="EE40" s="15"/>
      <c r="EF40" s="15">
        <v>1</v>
      </c>
      <c r="EG40" s="15"/>
      <c r="EH40" s="61">
        <f t="shared" si="197"/>
        <v>0</v>
      </c>
      <c r="EI40" s="66">
        <f t="shared" si="275"/>
        <v>0</v>
      </c>
      <c r="EJ40" s="12">
        <f t="shared" si="275"/>
        <v>0</v>
      </c>
      <c r="EK40" s="12">
        <f t="shared" si="275"/>
        <v>0</v>
      </c>
      <c r="EL40" s="12">
        <f t="shared" si="275"/>
        <v>0</v>
      </c>
      <c r="EM40" s="12">
        <f t="shared" si="275"/>
        <v>22000</v>
      </c>
      <c r="EN40" s="16">
        <f t="shared" si="275"/>
        <v>0</v>
      </c>
      <c r="EO40" s="59">
        <f t="shared" si="198"/>
        <v>0</v>
      </c>
      <c r="EP40" s="27">
        <v>22000</v>
      </c>
      <c r="EQ40" s="68">
        <v>1</v>
      </c>
      <c r="ER40" s="12"/>
      <c r="ES40" s="12"/>
      <c r="ET40" s="15">
        <v>1</v>
      </c>
      <c r="EU40" s="15"/>
      <c r="EV40" s="61">
        <f t="shared" si="199"/>
        <v>0</v>
      </c>
      <c r="EW40" s="66">
        <f t="shared" si="49"/>
        <v>0</v>
      </c>
      <c r="EX40" s="12">
        <f t="shared" si="49"/>
        <v>0</v>
      </c>
      <c r="EY40" s="12">
        <f t="shared" si="49"/>
        <v>22000</v>
      </c>
      <c r="EZ40" s="16">
        <f t="shared" si="49"/>
        <v>0</v>
      </c>
      <c r="FA40" s="59">
        <f t="shared" si="200"/>
        <v>0</v>
      </c>
      <c r="FB40" s="27">
        <v>22000</v>
      </c>
      <c r="FC40" s="68">
        <v>1</v>
      </c>
      <c r="FD40" s="12"/>
      <c r="FE40" s="15">
        <v>1</v>
      </c>
      <c r="FF40" s="15"/>
      <c r="FG40" s="61">
        <f t="shared" si="201"/>
        <v>0</v>
      </c>
      <c r="FH40" s="66">
        <f t="shared" si="50"/>
        <v>0</v>
      </c>
      <c r="FI40" s="12">
        <f t="shared" si="50"/>
        <v>22000</v>
      </c>
      <c r="FJ40" s="16">
        <f t="shared" si="50"/>
        <v>0</v>
      </c>
      <c r="FK40" s="59">
        <f t="shared" si="202"/>
        <v>0</v>
      </c>
      <c r="FL40" s="27">
        <v>22000</v>
      </c>
      <c r="FM40" s="68">
        <v>1</v>
      </c>
      <c r="FN40" s="12"/>
      <c r="FO40" s="15">
        <v>1</v>
      </c>
      <c r="FP40" s="15"/>
      <c r="FQ40" s="15"/>
      <c r="FR40" s="15"/>
      <c r="FS40" s="61">
        <f t="shared" si="203"/>
        <v>0</v>
      </c>
      <c r="FT40" s="66">
        <f t="shared" si="204"/>
        <v>0</v>
      </c>
      <c r="FU40" s="12">
        <f t="shared" si="205"/>
        <v>22000</v>
      </c>
      <c r="FV40" s="12">
        <f t="shared" si="206"/>
        <v>0</v>
      </c>
      <c r="FW40" s="12">
        <f t="shared" si="207"/>
        <v>0</v>
      </c>
      <c r="FX40" s="16">
        <f t="shared" si="51"/>
        <v>0</v>
      </c>
      <c r="FY40" s="59">
        <f t="shared" si="52"/>
        <v>0</v>
      </c>
      <c r="FZ40" s="27">
        <v>22000</v>
      </c>
      <c r="GA40" s="68">
        <v>1</v>
      </c>
      <c r="GB40" s="12">
        <v>1</v>
      </c>
      <c r="GC40" s="15"/>
      <c r="GD40" s="15"/>
      <c r="GE40" s="15"/>
      <c r="GF40" s="61">
        <f t="shared" si="208"/>
        <v>0</v>
      </c>
      <c r="GG40" s="66">
        <f t="shared" si="53"/>
        <v>22000</v>
      </c>
      <c r="GH40" s="66">
        <f>IF($GA40&lt;&gt;0,GB40*$FZ40/$GA40,0)</f>
        <v>22000</v>
      </c>
      <c r="GI40" s="12">
        <f t="shared" si="289"/>
        <v>0</v>
      </c>
      <c r="GJ40" s="12">
        <f t="shared" si="179"/>
        <v>0</v>
      </c>
      <c r="GK40" s="31">
        <f t="shared" si="290"/>
        <v>0</v>
      </c>
      <c r="GL40" s="123">
        <f t="shared" si="291"/>
        <v>0</v>
      </c>
      <c r="GM40" s="410">
        <f t="shared" si="16"/>
        <v>0</v>
      </c>
      <c r="GN40" s="414">
        <v>22000</v>
      </c>
      <c r="GO40" s="68">
        <v>1</v>
      </c>
      <c r="GP40" s="12"/>
      <c r="GQ40" s="15">
        <v>1</v>
      </c>
      <c r="GR40" s="15"/>
      <c r="GS40" s="15"/>
      <c r="GT40" s="15"/>
      <c r="GU40" s="61">
        <f t="shared" si="54"/>
        <v>0</v>
      </c>
      <c r="GV40" s="66">
        <f t="shared" si="17"/>
        <v>0</v>
      </c>
      <c r="GW40" s="12">
        <f t="shared" si="18"/>
        <v>22000</v>
      </c>
      <c r="GX40" s="12">
        <f t="shared" si="19"/>
        <v>0</v>
      </c>
      <c r="GY40" s="12">
        <f t="shared" si="20"/>
        <v>0</v>
      </c>
      <c r="GZ40" s="16">
        <f t="shared" si="21"/>
        <v>0</v>
      </c>
      <c r="HA40" s="59">
        <f t="shared" si="55"/>
        <v>0</v>
      </c>
      <c r="HB40" s="27">
        <v>25000</v>
      </c>
      <c r="HC40" s="68">
        <v>1</v>
      </c>
      <c r="HD40" s="12"/>
      <c r="HE40" s="15">
        <v>1</v>
      </c>
      <c r="HF40" s="15"/>
      <c r="HG40" s="15"/>
      <c r="HH40" s="15"/>
      <c r="HI40" s="15"/>
      <c r="HJ40" s="15"/>
      <c r="HK40" s="15"/>
      <c r="HL40" s="61">
        <f t="shared" si="56"/>
        <v>0</v>
      </c>
      <c r="HM40" s="66">
        <f t="shared" si="22"/>
        <v>0</v>
      </c>
      <c r="HN40" s="12">
        <f t="shared" si="23"/>
        <v>25000</v>
      </c>
      <c r="HO40" s="12">
        <f t="shared" si="24"/>
        <v>0</v>
      </c>
      <c r="HP40" s="12">
        <f t="shared" si="25"/>
        <v>0</v>
      </c>
      <c r="HQ40" s="12">
        <f t="shared" si="26"/>
        <v>0</v>
      </c>
      <c r="HR40" s="12">
        <f t="shared" si="27"/>
        <v>0</v>
      </c>
      <c r="HS40" s="12">
        <f t="shared" si="28"/>
        <v>0</v>
      </c>
      <c r="HT40" s="16">
        <f t="shared" si="29"/>
        <v>0</v>
      </c>
      <c r="HU40" s="59">
        <f t="shared" si="57"/>
        <v>0</v>
      </c>
      <c r="HV40" s="27">
        <v>22000</v>
      </c>
      <c r="HW40" s="68">
        <v>1</v>
      </c>
      <c r="HX40" s="12"/>
      <c r="HY40" s="15"/>
      <c r="HZ40" s="61">
        <f t="shared" si="58"/>
        <v>1</v>
      </c>
      <c r="IA40" s="66">
        <f t="shared" si="59"/>
        <v>0</v>
      </c>
      <c r="IB40" s="16">
        <f t="shared" si="59"/>
        <v>0</v>
      </c>
      <c r="IC40" s="59">
        <f t="shared" si="60"/>
        <v>22000</v>
      </c>
      <c r="ID40" s="129">
        <f>1190.48+21309.4</f>
        <v>22499.88</v>
      </c>
      <c r="IE40" s="68">
        <v>1</v>
      </c>
      <c r="IF40" s="12"/>
      <c r="IG40" s="15">
        <v>1</v>
      </c>
      <c r="IH40" s="15"/>
      <c r="II40" s="15"/>
      <c r="IJ40" s="15"/>
      <c r="IK40" s="15"/>
      <c r="IL40" s="15"/>
      <c r="IM40" s="15"/>
      <c r="IN40" s="15"/>
      <c r="IO40" s="61">
        <f t="shared" si="61"/>
        <v>0</v>
      </c>
      <c r="IP40" s="66">
        <f t="shared" si="62"/>
        <v>0</v>
      </c>
      <c r="IQ40" s="12">
        <f t="shared" si="63"/>
        <v>22499.88</v>
      </c>
      <c r="IR40" s="12">
        <f t="shared" si="64"/>
        <v>0</v>
      </c>
      <c r="IS40" s="12">
        <f t="shared" si="65"/>
        <v>0</v>
      </c>
      <c r="IT40" s="12">
        <f t="shared" si="66"/>
        <v>0</v>
      </c>
      <c r="IU40" s="12">
        <f t="shared" si="67"/>
        <v>0</v>
      </c>
      <c r="IV40" s="12">
        <f t="shared" si="68"/>
        <v>0</v>
      </c>
      <c r="IW40" s="15">
        <f t="shared" si="69"/>
        <v>0</v>
      </c>
      <c r="IX40" s="16">
        <f t="shared" si="69"/>
        <v>0</v>
      </c>
      <c r="IY40" s="59">
        <f t="shared" si="70"/>
        <v>0</v>
      </c>
      <c r="IZ40" s="129">
        <v>25000</v>
      </c>
      <c r="JA40" s="68">
        <v>1</v>
      </c>
      <c r="JB40" s="12"/>
      <c r="JC40" s="15">
        <v>1</v>
      </c>
      <c r="JD40" s="15"/>
      <c r="JE40" s="15"/>
      <c r="JF40" s="15"/>
      <c r="JG40" s="15"/>
      <c r="JH40" s="15"/>
      <c r="JI40" s="15"/>
      <c r="JJ40" s="15"/>
      <c r="JK40" s="61">
        <f t="shared" si="71"/>
        <v>0</v>
      </c>
      <c r="JL40" s="66">
        <f t="shared" si="72"/>
        <v>0</v>
      </c>
      <c r="JM40" s="12">
        <f t="shared" si="276"/>
        <v>25000</v>
      </c>
      <c r="JN40" s="12">
        <f t="shared" si="277"/>
        <v>0</v>
      </c>
      <c r="JO40" s="12">
        <f t="shared" si="278"/>
        <v>0</v>
      </c>
      <c r="JP40" s="12">
        <f t="shared" si="279"/>
        <v>0</v>
      </c>
      <c r="JQ40" s="12">
        <f t="shared" si="280"/>
        <v>0</v>
      </c>
      <c r="JR40" s="12">
        <f t="shared" si="281"/>
        <v>0</v>
      </c>
      <c r="JS40" s="12">
        <f t="shared" si="282"/>
        <v>0</v>
      </c>
      <c r="JT40" s="16">
        <f t="shared" si="283"/>
        <v>0</v>
      </c>
      <c r="JU40" s="59">
        <f t="shared" si="81"/>
        <v>0</v>
      </c>
      <c r="JV40" s="129">
        <v>25000</v>
      </c>
      <c r="JW40" s="68">
        <v>1</v>
      </c>
      <c r="JX40" s="12">
        <v>0.5</v>
      </c>
      <c r="JY40" s="12">
        <v>0.5</v>
      </c>
      <c r="JZ40" s="15"/>
      <c r="KA40" s="15"/>
      <c r="KB40" s="15"/>
      <c r="KC40" s="15"/>
      <c r="KD40" s="15"/>
      <c r="KE40" s="15"/>
      <c r="KF40" s="15"/>
      <c r="KG40" s="61">
        <f t="shared" si="82"/>
        <v>0</v>
      </c>
      <c r="KH40" s="146">
        <f t="shared" si="83"/>
        <v>12500</v>
      </c>
      <c r="KI40" s="12">
        <f t="shared" si="83"/>
        <v>12500</v>
      </c>
      <c r="KJ40" s="12">
        <f t="shared" si="84"/>
        <v>0</v>
      </c>
      <c r="KK40" s="12">
        <f t="shared" si="85"/>
        <v>0</v>
      </c>
      <c r="KL40" s="12">
        <f t="shared" si="86"/>
        <v>0</v>
      </c>
      <c r="KM40" s="12">
        <f t="shared" si="87"/>
        <v>0</v>
      </c>
      <c r="KN40" s="12">
        <f t="shared" si="88"/>
        <v>0</v>
      </c>
      <c r="KO40" s="12">
        <f t="shared" si="89"/>
        <v>0</v>
      </c>
      <c r="KP40" s="16">
        <f t="shared" si="90"/>
        <v>0</v>
      </c>
      <c r="KQ40" s="59">
        <f t="shared" si="91"/>
        <v>0</v>
      </c>
      <c r="KR40" s="129">
        <v>25000</v>
      </c>
      <c r="KS40" s="68">
        <v>1</v>
      </c>
      <c r="KT40" s="12">
        <v>0.5</v>
      </c>
      <c r="KU40" s="15">
        <v>0.3</v>
      </c>
      <c r="KV40" s="15"/>
      <c r="KW40" s="15"/>
      <c r="KX40" s="15"/>
      <c r="KY40" s="15">
        <v>0.2</v>
      </c>
      <c r="KZ40" s="15"/>
      <c r="LA40" s="15"/>
      <c r="LB40" s="61">
        <f t="shared" si="92"/>
        <v>0</v>
      </c>
      <c r="LC40" s="66">
        <f t="shared" si="93"/>
        <v>12500</v>
      </c>
      <c r="LD40" s="12">
        <f t="shared" si="94"/>
        <v>7500</v>
      </c>
      <c r="LE40" s="12">
        <f t="shared" si="95"/>
        <v>0</v>
      </c>
      <c r="LF40" s="12">
        <f t="shared" si="96"/>
        <v>0</v>
      </c>
      <c r="LG40" s="12">
        <f t="shared" si="97"/>
        <v>0</v>
      </c>
      <c r="LH40" s="12">
        <f t="shared" si="98"/>
        <v>5000</v>
      </c>
      <c r="LI40" s="12">
        <f t="shared" si="99"/>
        <v>0</v>
      </c>
      <c r="LJ40" s="16">
        <f t="shared" si="100"/>
        <v>0</v>
      </c>
      <c r="LK40" s="59">
        <f t="shared" si="101"/>
        <v>0</v>
      </c>
      <c r="LL40" s="129">
        <v>25000</v>
      </c>
      <c r="LM40" s="68">
        <v>1</v>
      </c>
      <c r="LN40" s="15">
        <v>0.5</v>
      </c>
      <c r="LO40" s="15"/>
      <c r="LP40" s="15"/>
      <c r="LQ40" s="15"/>
      <c r="LR40" s="15">
        <v>0.5</v>
      </c>
      <c r="LS40" s="15"/>
      <c r="LT40" s="15"/>
      <c r="LU40" s="61">
        <f t="shared" si="102"/>
        <v>0</v>
      </c>
      <c r="LV40" s="66">
        <f t="shared" si="103"/>
        <v>12500</v>
      </c>
      <c r="LW40" s="12">
        <f t="shared" si="104"/>
        <v>0</v>
      </c>
      <c r="LX40" s="12">
        <f t="shared" si="105"/>
        <v>0</v>
      </c>
      <c r="LY40" s="12">
        <f t="shared" si="106"/>
        <v>0</v>
      </c>
      <c r="LZ40" s="12">
        <f t="shared" si="107"/>
        <v>12500</v>
      </c>
      <c r="MA40" s="12">
        <f t="shared" si="108"/>
        <v>0</v>
      </c>
      <c r="MB40" s="16">
        <f t="shared" si="109"/>
        <v>0</v>
      </c>
      <c r="MC40" s="59">
        <f t="shared" si="110"/>
        <v>0</v>
      </c>
      <c r="MD40" s="129">
        <v>25000</v>
      </c>
      <c r="ME40" s="68">
        <v>1</v>
      </c>
      <c r="MF40" s="15"/>
      <c r="MG40" s="15"/>
      <c r="MH40" s="15"/>
      <c r="MI40" s="15">
        <v>1</v>
      </c>
      <c r="MJ40" s="15"/>
      <c r="MK40" s="15"/>
      <c r="ML40" s="15"/>
      <c r="MM40" s="61">
        <f t="shared" si="111"/>
        <v>0</v>
      </c>
      <c r="MN40" s="66">
        <f t="shared" si="112"/>
        <v>0</v>
      </c>
      <c r="MO40" s="12">
        <f t="shared" si="113"/>
        <v>0</v>
      </c>
      <c r="MP40" s="12">
        <f t="shared" si="114"/>
        <v>0</v>
      </c>
      <c r="MQ40" s="12">
        <f t="shared" si="115"/>
        <v>25000</v>
      </c>
      <c r="MR40" s="12">
        <f t="shared" si="116"/>
        <v>0</v>
      </c>
      <c r="MS40" s="12">
        <f t="shared" si="116"/>
        <v>0</v>
      </c>
      <c r="MT40" s="16">
        <f t="shared" si="117"/>
        <v>0</v>
      </c>
      <c r="MU40" s="59">
        <f t="shared" si="189"/>
        <v>0</v>
      </c>
      <c r="MV40" s="617">
        <v>25000</v>
      </c>
      <c r="MW40" s="619">
        <v>1</v>
      </c>
      <c r="MX40" s="15"/>
      <c r="MY40" s="15"/>
      <c r="MZ40" s="15"/>
      <c r="NA40" s="15">
        <v>0.65</v>
      </c>
      <c r="NB40" s="15"/>
      <c r="NC40" s="15"/>
      <c r="ND40" s="15"/>
      <c r="NE40" s="61">
        <f t="shared" si="118"/>
        <v>0.35</v>
      </c>
      <c r="NF40" s="66">
        <f t="shared" si="119"/>
        <v>0</v>
      </c>
      <c r="NG40" s="12">
        <f t="shared" si="120"/>
        <v>0</v>
      </c>
      <c r="NH40" s="12">
        <f t="shared" si="121"/>
        <v>0</v>
      </c>
      <c r="NI40" s="12">
        <f t="shared" si="122"/>
        <v>16250</v>
      </c>
      <c r="NJ40" s="12">
        <f t="shared" si="123"/>
        <v>0</v>
      </c>
      <c r="NK40" s="12">
        <f t="shared" si="123"/>
        <v>0</v>
      </c>
      <c r="NL40" s="16">
        <f t="shared" si="124"/>
        <v>0</v>
      </c>
      <c r="NM40" s="59">
        <f t="shared" si="125"/>
        <v>8750</v>
      </c>
      <c r="NN40" s="617">
        <v>28229.45</v>
      </c>
      <c r="NO40" s="619">
        <v>0.77</v>
      </c>
      <c r="NP40" s="15"/>
      <c r="NQ40" s="15"/>
      <c r="NR40" s="15"/>
      <c r="NS40" s="15"/>
      <c r="NT40" s="15"/>
      <c r="NU40" s="61">
        <f t="shared" si="126"/>
        <v>0.77</v>
      </c>
      <c r="NV40" s="66">
        <f t="shared" si="190"/>
        <v>0</v>
      </c>
      <c r="NW40" s="12">
        <f t="shared" si="209"/>
        <v>0</v>
      </c>
      <c r="NX40" s="12">
        <f t="shared" si="210"/>
        <v>0</v>
      </c>
      <c r="NY40" s="12">
        <f t="shared" si="211"/>
        <v>0</v>
      </c>
      <c r="NZ40" s="16">
        <f t="shared" si="212"/>
        <v>0</v>
      </c>
      <c r="OA40" s="59">
        <f t="shared" si="131"/>
        <v>28229.45</v>
      </c>
      <c r="OB40" s="131">
        <v>12500</v>
      </c>
      <c r="OC40" s="133">
        <v>0.5</v>
      </c>
      <c r="OD40" s="15"/>
      <c r="OE40" s="15"/>
      <c r="OF40" s="15"/>
      <c r="OG40" s="15"/>
      <c r="OH40" s="15"/>
      <c r="OI40" s="61">
        <f t="shared" si="163"/>
        <v>0.5</v>
      </c>
      <c r="OJ40" s="66">
        <f t="shared" si="132"/>
        <v>0</v>
      </c>
      <c r="OK40" s="12">
        <f t="shared" si="133"/>
        <v>0</v>
      </c>
      <c r="OL40" s="12">
        <f t="shared" si="134"/>
        <v>0</v>
      </c>
      <c r="OM40" s="12">
        <f t="shared" si="135"/>
        <v>0</v>
      </c>
      <c r="ON40" s="16">
        <f t="shared" si="136"/>
        <v>0</v>
      </c>
      <c r="OO40" s="59">
        <f t="shared" si="137"/>
        <v>12500</v>
      </c>
      <c r="OP40" s="131">
        <v>12500</v>
      </c>
      <c r="OQ40" s="133">
        <v>0.5</v>
      </c>
      <c r="OR40" s="15"/>
      <c r="OS40" s="15"/>
      <c r="OT40" s="15"/>
      <c r="OU40" s="15"/>
      <c r="OV40" s="15"/>
      <c r="OW40" s="61">
        <f t="shared" si="138"/>
        <v>0.5</v>
      </c>
      <c r="OX40" s="66">
        <f t="shared" si="139"/>
        <v>0</v>
      </c>
      <c r="OY40" s="12">
        <f t="shared" si="140"/>
        <v>0</v>
      </c>
      <c r="OZ40" s="12">
        <f t="shared" si="141"/>
        <v>0</v>
      </c>
      <c r="PA40" s="12">
        <f t="shared" si="142"/>
        <v>0</v>
      </c>
      <c r="PB40" s="16">
        <f t="shared" si="143"/>
        <v>0</v>
      </c>
      <c r="PC40" s="59">
        <f t="shared" si="144"/>
        <v>12500</v>
      </c>
      <c r="PD40" s="131">
        <v>12500</v>
      </c>
      <c r="PE40" s="133">
        <v>0.5</v>
      </c>
      <c r="PF40" s="15"/>
      <c r="PG40" s="15"/>
      <c r="PH40" s="15"/>
      <c r="PI40" s="15"/>
      <c r="PJ40" s="15"/>
      <c r="PK40" s="61">
        <f t="shared" si="145"/>
        <v>0.5</v>
      </c>
      <c r="PL40" s="66">
        <f t="shared" si="174"/>
        <v>0</v>
      </c>
      <c r="PM40" s="12">
        <f t="shared" si="175"/>
        <v>0</v>
      </c>
      <c r="PN40" s="12">
        <f t="shared" si="176"/>
        <v>0</v>
      </c>
      <c r="PO40" s="12">
        <f t="shared" si="177"/>
        <v>0</v>
      </c>
      <c r="PP40" s="16">
        <f t="shared" si="178"/>
        <v>0</v>
      </c>
      <c r="PQ40" s="59">
        <f t="shared" si="150"/>
        <v>12500</v>
      </c>
      <c r="PS40" s="884">
        <f t="shared" si="151"/>
        <v>0</v>
      </c>
    </row>
    <row r="41" spans="2:435" x14ac:dyDescent="0.2">
      <c r="B41" s="24">
        <v>30</v>
      </c>
      <c r="C41" s="25" t="s">
        <v>14</v>
      </c>
      <c r="D41" s="26"/>
      <c r="E41" s="42"/>
      <c r="F41" s="31"/>
      <c r="G41" s="12"/>
      <c r="H41" s="12"/>
      <c r="I41" s="12"/>
      <c r="J41" s="12"/>
      <c r="K41" s="12"/>
      <c r="L41" s="15"/>
      <c r="M41" s="61"/>
      <c r="N41" s="31"/>
      <c r="O41" s="12"/>
      <c r="P41" s="12"/>
      <c r="Q41" s="12"/>
      <c r="R41" s="12"/>
      <c r="S41" s="12"/>
      <c r="T41" s="15"/>
      <c r="U41" s="59"/>
      <c r="V41" s="26"/>
      <c r="W41" s="42"/>
      <c r="X41" s="31"/>
      <c r="Y41" s="12"/>
      <c r="Z41" s="12"/>
      <c r="AA41" s="12"/>
      <c r="AB41" s="12"/>
      <c r="AC41" s="12"/>
      <c r="AD41" s="15"/>
      <c r="AE41" s="15"/>
      <c r="AF41" s="61"/>
      <c r="AG41" s="35"/>
      <c r="AH41" s="35"/>
      <c r="AI41" s="35"/>
      <c r="AJ41" s="35"/>
      <c r="AK41" s="35"/>
      <c r="AL41" s="35"/>
      <c r="AM41" s="35"/>
      <c r="AN41" s="35"/>
      <c r="AO41" s="62"/>
      <c r="AP41" s="26"/>
      <c r="AQ41" s="42"/>
      <c r="AR41" s="12"/>
      <c r="AS41" s="12"/>
      <c r="AT41" s="12"/>
      <c r="AU41" s="12"/>
      <c r="AV41" s="15"/>
      <c r="AW41" s="15"/>
      <c r="AX41" s="61"/>
      <c r="AY41" s="35"/>
      <c r="AZ41" s="35"/>
      <c r="BA41" s="35"/>
      <c r="BB41" s="35"/>
      <c r="BC41" s="35"/>
      <c r="BD41" s="34"/>
      <c r="BE41" s="59"/>
      <c r="BF41" s="26"/>
      <c r="BG41" s="42"/>
      <c r="BH41" s="12"/>
      <c r="BI41" s="12"/>
      <c r="BJ41" s="12"/>
      <c r="BK41" s="12"/>
      <c r="BL41" s="15"/>
      <c r="BM41" s="15"/>
      <c r="BN41" s="15"/>
      <c r="BO41" s="61"/>
      <c r="BP41" s="65"/>
      <c r="BQ41" s="33"/>
      <c r="BR41" s="33"/>
      <c r="BS41" s="33"/>
      <c r="BT41" s="33"/>
      <c r="BU41" s="33"/>
      <c r="BV41" s="34"/>
      <c r="BW41" s="59"/>
      <c r="BX41" s="27"/>
      <c r="BY41" s="68"/>
      <c r="BZ41" s="31"/>
      <c r="CA41" s="12"/>
      <c r="CB41" s="12"/>
      <c r="CC41" s="12"/>
      <c r="CD41" s="15"/>
      <c r="CE41" s="15"/>
      <c r="CF41" s="15"/>
      <c r="CG41" s="61"/>
      <c r="CH41" s="66"/>
      <c r="CI41" s="12"/>
      <c r="CJ41" s="12"/>
      <c r="CK41" s="12"/>
      <c r="CL41" s="12"/>
      <c r="CM41" s="12"/>
      <c r="CN41" s="16"/>
      <c r="CO41" s="59"/>
      <c r="CP41" s="26"/>
      <c r="CQ41" s="42"/>
      <c r="CR41" s="12"/>
      <c r="CS41" s="12"/>
      <c r="CT41" s="12"/>
      <c r="CU41" s="12"/>
      <c r="CV41" s="15"/>
      <c r="CW41" s="15"/>
      <c r="CX41" s="15"/>
      <c r="CY41" s="61"/>
      <c r="CZ41" s="66"/>
      <c r="DA41" s="12"/>
      <c r="DB41" s="12"/>
      <c r="DC41" s="12"/>
      <c r="DD41" s="12"/>
      <c r="DE41" s="12"/>
      <c r="DF41" s="16"/>
      <c r="DG41" s="59"/>
      <c r="DH41" s="26"/>
      <c r="DI41" s="42"/>
      <c r="DJ41" s="12"/>
      <c r="DK41" s="12"/>
      <c r="DL41" s="12"/>
      <c r="DM41" s="12"/>
      <c r="DN41" s="15"/>
      <c r="DO41" s="15"/>
      <c r="DP41" s="15"/>
      <c r="DQ41" s="61"/>
      <c r="DR41" s="66"/>
      <c r="DS41" s="12"/>
      <c r="DT41" s="12"/>
      <c r="DU41" s="12"/>
      <c r="DV41" s="12"/>
      <c r="DW41" s="12"/>
      <c r="DX41" s="16"/>
      <c r="DY41" s="59"/>
      <c r="DZ41" s="26"/>
      <c r="EA41" s="42"/>
      <c r="EB41" s="12"/>
      <c r="EC41" s="12"/>
      <c r="ED41" s="12"/>
      <c r="EE41" s="15"/>
      <c r="EF41" s="15"/>
      <c r="EG41" s="15"/>
      <c r="EH41" s="61"/>
      <c r="EI41" s="66"/>
      <c r="EJ41" s="12"/>
      <c r="EK41" s="12"/>
      <c r="EL41" s="12"/>
      <c r="EM41" s="12"/>
      <c r="EN41" s="16"/>
      <c r="EO41" s="59"/>
      <c r="EP41" s="26"/>
      <c r="EQ41" s="42"/>
      <c r="ER41" s="12"/>
      <c r="ES41" s="12"/>
      <c r="ET41" s="15"/>
      <c r="EU41" s="15"/>
      <c r="EV41" s="61"/>
      <c r="EW41" s="66"/>
      <c r="EX41" s="12"/>
      <c r="EY41" s="12"/>
      <c r="EZ41" s="16"/>
      <c r="FA41" s="59"/>
      <c r="FB41" s="26">
        <f>36635.76</f>
        <v>36635.760000000002</v>
      </c>
      <c r="FC41" s="42">
        <f>7/8</f>
        <v>0.88</v>
      </c>
      <c r="FD41" s="12"/>
      <c r="FE41" s="15">
        <v>0.85</v>
      </c>
      <c r="FF41" s="15"/>
      <c r="FG41" s="61">
        <f>FC41-FD41-FE41-FF41</f>
        <v>0.03</v>
      </c>
      <c r="FH41" s="66"/>
      <c r="FI41" s="12"/>
      <c r="FJ41" s="16"/>
      <c r="FK41" s="59"/>
      <c r="FL41" s="26">
        <f>36635.76</f>
        <v>36635.760000000002</v>
      </c>
      <c r="FM41" s="42">
        <f>7/8</f>
        <v>0.88</v>
      </c>
      <c r="FN41" s="12"/>
      <c r="FO41" s="15">
        <v>0.85</v>
      </c>
      <c r="FP41" s="15"/>
      <c r="FQ41" s="15"/>
      <c r="FR41" s="15"/>
      <c r="FS41" s="61">
        <f>FM41-FN41-FO41-FR41-FP41-FQ41</f>
        <v>0.03</v>
      </c>
      <c r="FT41" s="66"/>
      <c r="FU41" s="12"/>
      <c r="FV41" s="12">
        <f>IF($FM41&lt;&gt;0,FP41*$FL41/$FM41,0)</f>
        <v>0</v>
      </c>
      <c r="FW41" s="12">
        <f>IF($FM41&lt;&gt;0,FQ41*$FL41/$FM41,0)</f>
        <v>0</v>
      </c>
      <c r="FX41" s="16"/>
      <c r="FY41" s="59">
        <f>FL41-FT41-FU41-FX41-FV41-FW41</f>
        <v>36635.760000000002</v>
      </c>
      <c r="FZ41" s="26">
        <v>38380.019999999997</v>
      </c>
      <c r="GA41" s="42">
        <f>7/8</f>
        <v>0.88</v>
      </c>
      <c r="GB41" s="12"/>
      <c r="GC41" s="15">
        <v>0.87</v>
      </c>
      <c r="GD41" s="15"/>
      <c r="GE41" s="15"/>
      <c r="GF41" s="61">
        <f>GA41-GB41-GC41-GD41-GE41</f>
        <v>0.01</v>
      </c>
      <c r="GG41" s="66">
        <f>IF($GA41&lt;&gt;0,GB41*$FZ41/$GA41,0)</f>
        <v>0</v>
      </c>
      <c r="GH41" s="66">
        <f>IF($GA41&lt;&gt;0,GB41*$FZ41/$GA41,0)</f>
        <v>0</v>
      </c>
      <c r="GI41" s="12">
        <f>IF($GA41&lt;&gt;0,GC41*$FZ41/$GA41,0)</f>
        <v>37943.879999999997</v>
      </c>
      <c r="GJ41" s="12">
        <f t="shared" si="179"/>
        <v>37943.879999999997</v>
      </c>
      <c r="GK41" s="31">
        <f>IF($GA41&lt;&gt;0,GD41*$FZ41/$GA41,0)</f>
        <v>0</v>
      </c>
      <c r="GL41" s="123">
        <f>IF($GA41&lt;&gt;0,GE41*$FZ41/$GA41,0)</f>
        <v>0</v>
      </c>
      <c r="GM41" s="410">
        <f>FZ41-GG41-GI41-GK41-GL41</f>
        <v>436.14</v>
      </c>
      <c r="GN41" s="414">
        <v>31402.080000000002</v>
      </c>
      <c r="GO41" s="42">
        <f>7/8</f>
        <v>0.88</v>
      </c>
      <c r="GP41" s="12"/>
      <c r="GQ41" s="15">
        <v>0.8</v>
      </c>
      <c r="GR41" s="15"/>
      <c r="GS41" s="15"/>
      <c r="GT41" s="15"/>
      <c r="GU41" s="61">
        <f>GO41-GP41-GQ41-GR41-GS41-GT41</f>
        <v>0.08</v>
      </c>
      <c r="GV41" s="66">
        <f>IF($GO41&lt;&gt;0,GP41*$GN41/$GO41,0)</f>
        <v>0</v>
      </c>
      <c r="GW41" s="12">
        <f>IF($GO41&lt;&gt;0,GQ41*$GN41/$GO41,0)</f>
        <v>28547.35</v>
      </c>
      <c r="GX41" s="12">
        <f>IF($GO41&lt;&gt;0,GR41*$GN41/$GO41,0)</f>
        <v>0</v>
      </c>
      <c r="GY41" s="12">
        <f>IF($GO41&lt;&gt;0,GS41*$GN41/$GO41,0)</f>
        <v>0</v>
      </c>
      <c r="GZ41" s="16">
        <f>IF($GO41&lt;&gt;0,GT41*$GN41/$GO41,0)</f>
        <v>0</v>
      </c>
      <c r="HA41" s="59">
        <f>GN41-GV41-GW41-GX41-GY41-GZ41</f>
        <v>2854.73</v>
      </c>
      <c r="HB41" s="26">
        <f>21000+33933.56</f>
        <v>54933.56</v>
      </c>
      <c r="HC41" s="42">
        <f>7/8*18/29+1*11/29</f>
        <v>0.92</v>
      </c>
      <c r="HD41" s="12"/>
      <c r="HE41" s="15">
        <v>0.9</v>
      </c>
      <c r="HF41" s="15"/>
      <c r="HG41" s="15"/>
      <c r="HH41" s="15"/>
      <c r="HI41" s="15"/>
      <c r="HJ41" s="15"/>
      <c r="HK41" s="15"/>
      <c r="HL41" s="61">
        <f>HC41-HD41-HE41-HF41-HG41-HH41-HI41-HJ41-HK41</f>
        <v>0.02</v>
      </c>
      <c r="HM41" s="66">
        <f t="shared" ref="HM41:HT41" si="293">IF($HC41&lt;&gt;0,HD41*$HB41/$HC41,0)</f>
        <v>0</v>
      </c>
      <c r="HN41" s="12">
        <f>IF($HC41&lt;&gt;0,HE41*$HB41/$HC41,0)</f>
        <v>53739.35</v>
      </c>
      <c r="HO41" s="12">
        <f t="shared" si="293"/>
        <v>0</v>
      </c>
      <c r="HP41" s="12">
        <f t="shared" si="293"/>
        <v>0</v>
      </c>
      <c r="HQ41" s="12">
        <f t="shared" si="293"/>
        <v>0</v>
      </c>
      <c r="HR41" s="12">
        <f t="shared" si="293"/>
        <v>0</v>
      </c>
      <c r="HS41" s="12">
        <f t="shared" si="293"/>
        <v>0</v>
      </c>
      <c r="HT41" s="16">
        <f t="shared" si="293"/>
        <v>0</v>
      </c>
      <c r="HU41" s="59">
        <f>HB41-HM41-HN41-HO41-HP41-HQ41-HR41-HS41-HT41</f>
        <v>1194.21</v>
      </c>
      <c r="HV41" s="71">
        <v>31402.080000000002</v>
      </c>
      <c r="HW41" s="72">
        <v>1</v>
      </c>
      <c r="HX41" s="12"/>
      <c r="HY41" s="15"/>
      <c r="HZ41" s="61">
        <f>HW41-HX41-HY41</f>
        <v>1</v>
      </c>
      <c r="IA41" s="66">
        <f>IF($HW41&lt;&gt;0,HX41*$HV41/$HW41,0)</f>
        <v>0</v>
      </c>
      <c r="IB41" s="16">
        <f>IF($HW41&lt;&gt;0,HY41*$HV41/$HW41,0)</f>
        <v>0</v>
      </c>
      <c r="IC41" s="59">
        <f>HV41-IA41-IB41</f>
        <v>31402.080000000002</v>
      </c>
      <c r="ID41" s="26">
        <v>60000</v>
      </c>
      <c r="IE41" s="42">
        <v>1</v>
      </c>
      <c r="IF41" s="12"/>
      <c r="IG41" s="15">
        <v>1</v>
      </c>
      <c r="IH41" s="15"/>
      <c r="II41" s="15"/>
      <c r="IJ41" s="15"/>
      <c r="IK41" s="15"/>
      <c r="IL41" s="15"/>
      <c r="IM41" s="15"/>
      <c r="IN41" s="15"/>
      <c r="IO41" s="61">
        <f>IE41-IF41-IG41-IH41-II41-IJ41-IK41-IL41-IM41-IN41</f>
        <v>0</v>
      </c>
      <c r="IP41" s="66">
        <f t="shared" ref="IP41:IX41" si="294">IF($IE41&lt;&gt;0,IF41*$ID41/$IE41,0)</f>
        <v>0</v>
      </c>
      <c r="IQ41" s="12">
        <f t="shared" si="294"/>
        <v>60000</v>
      </c>
      <c r="IR41" s="12">
        <f t="shared" si="294"/>
        <v>0</v>
      </c>
      <c r="IS41" s="12">
        <f t="shared" si="294"/>
        <v>0</v>
      </c>
      <c r="IT41" s="12">
        <f t="shared" si="294"/>
        <v>0</v>
      </c>
      <c r="IU41" s="12">
        <f t="shared" si="294"/>
        <v>0</v>
      </c>
      <c r="IV41" s="12">
        <f t="shared" si="294"/>
        <v>0</v>
      </c>
      <c r="IW41" s="15">
        <f t="shared" si="294"/>
        <v>0</v>
      </c>
      <c r="IX41" s="16">
        <f t="shared" si="294"/>
        <v>0</v>
      </c>
      <c r="IY41" s="59">
        <f>ID41-IP41-IQ41-IR41-IS41-IT41-IU41-IV41-IW41-IX41</f>
        <v>0</v>
      </c>
      <c r="IZ41" s="26">
        <v>60000</v>
      </c>
      <c r="JA41" s="42">
        <v>1</v>
      </c>
      <c r="JB41" s="12"/>
      <c r="JC41" s="15">
        <v>1</v>
      </c>
      <c r="JD41" s="15"/>
      <c r="JE41" s="15"/>
      <c r="JF41" s="15"/>
      <c r="JG41" s="15"/>
      <c r="JH41" s="15"/>
      <c r="JI41" s="15"/>
      <c r="JJ41" s="15"/>
      <c r="JK41" s="61">
        <f>JA41-JB41-JC41-JD41-JE41-JF41-JG41-JH41-JI41-JJ41</f>
        <v>0</v>
      </c>
      <c r="JL41" s="66">
        <f>IF($JA41&lt;&gt;0,JB41*$IZ41/$JA41,0)</f>
        <v>0</v>
      </c>
      <c r="JM41" s="12">
        <f t="shared" si="276"/>
        <v>60000</v>
      </c>
      <c r="JN41" s="12">
        <f t="shared" si="277"/>
        <v>0</v>
      </c>
      <c r="JO41" s="12">
        <f t="shared" si="278"/>
        <v>0</v>
      </c>
      <c r="JP41" s="12">
        <f t="shared" si="279"/>
        <v>0</v>
      </c>
      <c r="JQ41" s="12">
        <f t="shared" si="280"/>
        <v>0</v>
      </c>
      <c r="JR41" s="12">
        <f t="shared" si="281"/>
        <v>0</v>
      </c>
      <c r="JS41" s="12">
        <f t="shared" si="282"/>
        <v>0</v>
      </c>
      <c r="JT41" s="16">
        <f t="shared" si="283"/>
        <v>0</v>
      </c>
      <c r="JU41" s="59">
        <f t="shared" si="81"/>
        <v>0</v>
      </c>
      <c r="JV41" s="26">
        <v>60000</v>
      </c>
      <c r="JW41" s="42">
        <v>1</v>
      </c>
      <c r="JX41" s="12"/>
      <c r="JY41" s="12"/>
      <c r="JZ41" s="15">
        <v>0.1</v>
      </c>
      <c r="KA41" s="15"/>
      <c r="KB41" s="15"/>
      <c r="KC41" s="15">
        <v>0.9</v>
      </c>
      <c r="KD41" s="15"/>
      <c r="KE41" s="15"/>
      <c r="KF41" s="15"/>
      <c r="KG41" s="61">
        <f t="shared" si="82"/>
        <v>0</v>
      </c>
      <c r="KH41" s="146">
        <f t="shared" si="83"/>
        <v>0</v>
      </c>
      <c r="KI41" s="12">
        <f t="shared" si="83"/>
        <v>0</v>
      </c>
      <c r="KJ41" s="12">
        <f t="shared" si="84"/>
        <v>6000</v>
      </c>
      <c r="KK41" s="12">
        <f t="shared" si="85"/>
        <v>0</v>
      </c>
      <c r="KL41" s="12">
        <f t="shared" si="86"/>
        <v>0</v>
      </c>
      <c r="KM41" s="12">
        <f t="shared" si="87"/>
        <v>54000</v>
      </c>
      <c r="KN41" s="12">
        <f t="shared" si="88"/>
        <v>0</v>
      </c>
      <c r="KO41" s="12">
        <f t="shared" si="89"/>
        <v>0</v>
      </c>
      <c r="KP41" s="16">
        <f t="shared" si="90"/>
        <v>0</v>
      </c>
      <c r="KQ41" s="59">
        <f t="shared" si="91"/>
        <v>0</v>
      </c>
      <c r="KR41" s="26">
        <v>54790.44</v>
      </c>
      <c r="KS41" s="42">
        <v>1</v>
      </c>
      <c r="KT41" s="12"/>
      <c r="KU41" s="15">
        <v>1</v>
      </c>
      <c r="KV41" s="15"/>
      <c r="KW41" s="15"/>
      <c r="KX41" s="15"/>
      <c r="KY41" s="15"/>
      <c r="KZ41" s="15"/>
      <c r="LA41" s="15"/>
      <c r="LB41" s="61">
        <f t="shared" si="92"/>
        <v>0</v>
      </c>
      <c r="LC41" s="66">
        <f t="shared" si="93"/>
        <v>0</v>
      </c>
      <c r="LD41" s="12">
        <f t="shared" si="94"/>
        <v>54790.44</v>
      </c>
      <c r="LE41" s="12">
        <f t="shared" si="95"/>
        <v>0</v>
      </c>
      <c r="LF41" s="12">
        <f t="shared" si="96"/>
        <v>0</v>
      </c>
      <c r="LG41" s="12">
        <f t="shared" si="97"/>
        <v>0</v>
      </c>
      <c r="LH41" s="12">
        <f t="shared" si="98"/>
        <v>0</v>
      </c>
      <c r="LI41" s="12">
        <f t="shared" si="99"/>
        <v>0</v>
      </c>
      <c r="LJ41" s="16">
        <f t="shared" si="100"/>
        <v>0</v>
      </c>
      <c r="LK41" s="59">
        <f t="shared" si="101"/>
        <v>0</v>
      </c>
      <c r="LL41" s="26">
        <v>60000</v>
      </c>
      <c r="LM41" s="42">
        <v>1</v>
      </c>
      <c r="LN41" s="15">
        <v>0.55000000000000004</v>
      </c>
      <c r="LO41" s="15"/>
      <c r="LP41" s="15"/>
      <c r="LQ41" s="15">
        <v>0.45</v>
      </c>
      <c r="LR41" s="15"/>
      <c r="LS41" s="15"/>
      <c r="LT41" s="15"/>
      <c r="LU41" s="61">
        <f t="shared" si="102"/>
        <v>0</v>
      </c>
      <c r="LV41" s="66">
        <f t="shared" si="103"/>
        <v>33000</v>
      </c>
      <c r="LW41" s="12">
        <f t="shared" si="104"/>
        <v>0</v>
      </c>
      <c r="LX41" s="12">
        <f t="shared" si="105"/>
        <v>0</v>
      </c>
      <c r="LY41" s="12">
        <f t="shared" si="106"/>
        <v>27000</v>
      </c>
      <c r="LZ41" s="12">
        <f t="shared" si="107"/>
        <v>0</v>
      </c>
      <c r="MA41" s="12">
        <f t="shared" si="108"/>
        <v>0</v>
      </c>
      <c r="MB41" s="16">
        <f t="shared" si="109"/>
        <v>0</v>
      </c>
      <c r="MC41" s="59">
        <f t="shared" si="110"/>
        <v>0</v>
      </c>
      <c r="MD41" s="26">
        <v>60000</v>
      </c>
      <c r="ME41" s="42">
        <v>1</v>
      </c>
      <c r="MF41" s="15"/>
      <c r="MG41" s="15"/>
      <c r="MH41" s="15">
        <v>1</v>
      </c>
      <c r="MI41" s="15"/>
      <c r="MJ41" s="15"/>
      <c r="MK41" s="15"/>
      <c r="ML41" s="15"/>
      <c r="MM41" s="61">
        <f t="shared" si="111"/>
        <v>0</v>
      </c>
      <c r="MN41" s="66">
        <f t="shared" si="112"/>
        <v>0</v>
      </c>
      <c r="MO41" s="12">
        <f t="shared" si="113"/>
        <v>0</v>
      </c>
      <c r="MP41" s="12">
        <f t="shared" si="114"/>
        <v>60000</v>
      </c>
      <c r="MQ41" s="12">
        <f t="shared" si="115"/>
        <v>0</v>
      </c>
      <c r="MR41" s="12">
        <f t="shared" si="116"/>
        <v>0</v>
      </c>
      <c r="MS41" s="12">
        <f t="shared" si="116"/>
        <v>0</v>
      </c>
      <c r="MT41" s="16">
        <f t="shared" si="117"/>
        <v>0</v>
      </c>
      <c r="MU41" s="59">
        <f t="shared" si="189"/>
        <v>0</v>
      </c>
      <c r="MV41" s="621">
        <v>53965.5</v>
      </c>
      <c r="MW41" s="623">
        <v>1</v>
      </c>
      <c r="MX41" s="15"/>
      <c r="MY41" s="15"/>
      <c r="MZ41" s="15">
        <v>1</v>
      </c>
      <c r="NA41" s="15"/>
      <c r="NB41" s="15"/>
      <c r="NC41" s="15"/>
      <c r="ND41" s="15"/>
      <c r="NE41" s="61">
        <f t="shared" si="118"/>
        <v>0</v>
      </c>
      <c r="NF41" s="66">
        <f t="shared" si="119"/>
        <v>0</v>
      </c>
      <c r="NG41" s="12">
        <f t="shared" si="120"/>
        <v>0</v>
      </c>
      <c r="NH41" s="12">
        <f t="shared" si="121"/>
        <v>53965.5</v>
      </c>
      <c r="NI41" s="12">
        <f t="shared" si="122"/>
        <v>0</v>
      </c>
      <c r="NJ41" s="12">
        <f t="shared" si="123"/>
        <v>0</v>
      </c>
      <c r="NK41" s="12">
        <f t="shared" si="123"/>
        <v>0</v>
      </c>
      <c r="NL41" s="16">
        <f t="shared" si="124"/>
        <v>0</v>
      </c>
      <c r="NM41" s="59">
        <f t="shared" si="125"/>
        <v>0</v>
      </c>
      <c r="NN41" s="621">
        <v>60000</v>
      </c>
      <c r="NO41" s="623">
        <v>1</v>
      </c>
      <c r="NP41" s="15"/>
      <c r="NQ41" s="15"/>
      <c r="NR41" s="15"/>
      <c r="NS41" s="15"/>
      <c r="NT41" s="15"/>
      <c r="NU41" s="61">
        <f t="shared" si="126"/>
        <v>1</v>
      </c>
      <c r="NV41" s="66">
        <f t="shared" si="190"/>
        <v>0</v>
      </c>
      <c r="NW41" s="12">
        <f t="shared" si="209"/>
        <v>0</v>
      </c>
      <c r="NX41" s="12">
        <f t="shared" si="210"/>
        <v>0</v>
      </c>
      <c r="NY41" s="12">
        <f t="shared" si="211"/>
        <v>0</v>
      </c>
      <c r="NZ41" s="16">
        <f t="shared" si="212"/>
        <v>0</v>
      </c>
      <c r="OA41" s="59">
        <f t="shared" si="131"/>
        <v>60000</v>
      </c>
      <c r="OB41" s="135">
        <v>60000</v>
      </c>
      <c r="OC41" s="136">
        <v>1</v>
      </c>
      <c r="OD41" s="15"/>
      <c r="OE41" s="15"/>
      <c r="OF41" s="15"/>
      <c r="OG41" s="15"/>
      <c r="OH41" s="15"/>
      <c r="OI41" s="61">
        <f t="shared" si="163"/>
        <v>1</v>
      </c>
      <c r="OJ41" s="66">
        <f t="shared" si="132"/>
        <v>0</v>
      </c>
      <c r="OK41" s="12">
        <f t="shared" si="133"/>
        <v>0</v>
      </c>
      <c r="OL41" s="12">
        <f t="shared" si="134"/>
        <v>0</v>
      </c>
      <c r="OM41" s="12">
        <f t="shared" si="135"/>
        <v>0</v>
      </c>
      <c r="ON41" s="16">
        <f t="shared" si="136"/>
        <v>0</v>
      </c>
      <c r="OO41" s="59">
        <f t="shared" si="137"/>
        <v>60000</v>
      </c>
      <c r="OP41" s="135">
        <v>60000</v>
      </c>
      <c r="OQ41" s="136">
        <v>1</v>
      </c>
      <c r="OR41" s="15"/>
      <c r="OS41" s="15"/>
      <c r="OT41" s="15"/>
      <c r="OU41" s="15"/>
      <c r="OV41" s="15"/>
      <c r="OW41" s="61">
        <f t="shared" si="138"/>
        <v>1</v>
      </c>
      <c r="OX41" s="66">
        <f t="shared" si="139"/>
        <v>0</v>
      </c>
      <c r="OY41" s="12">
        <f t="shared" si="140"/>
        <v>0</v>
      </c>
      <c r="OZ41" s="12">
        <f t="shared" si="141"/>
        <v>0</v>
      </c>
      <c r="PA41" s="12">
        <f t="shared" si="142"/>
        <v>0</v>
      </c>
      <c r="PB41" s="16">
        <f t="shared" si="143"/>
        <v>0</v>
      </c>
      <c r="PC41" s="59">
        <f t="shared" si="144"/>
        <v>60000</v>
      </c>
      <c r="PD41" s="135">
        <v>60000</v>
      </c>
      <c r="PE41" s="136">
        <v>1</v>
      </c>
      <c r="PF41" s="15"/>
      <c r="PG41" s="15"/>
      <c r="PH41" s="15"/>
      <c r="PI41" s="15"/>
      <c r="PJ41" s="15"/>
      <c r="PK41" s="61">
        <f t="shared" si="145"/>
        <v>1</v>
      </c>
      <c r="PL41" s="66">
        <f t="shared" si="174"/>
        <v>0</v>
      </c>
      <c r="PM41" s="12">
        <f t="shared" si="175"/>
        <v>0</v>
      </c>
      <c r="PN41" s="12">
        <f t="shared" si="176"/>
        <v>0</v>
      </c>
      <c r="PO41" s="12">
        <f t="shared" si="177"/>
        <v>0</v>
      </c>
      <c r="PP41" s="16">
        <f t="shared" si="178"/>
        <v>0</v>
      </c>
      <c r="PQ41" s="59">
        <f t="shared" si="150"/>
        <v>60000</v>
      </c>
      <c r="PS41" s="884">
        <f t="shared" si="151"/>
        <v>0</v>
      </c>
    </row>
    <row r="42" spans="2:435" x14ac:dyDescent="0.2">
      <c r="B42" s="24">
        <v>31</v>
      </c>
      <c r="C42" s="25" t="s">
        <v>76</v>
      </c>
      <c r="D42" s="26"/>
      <c r="E42" s="42"/>
      <c r="F42" s="31"/>
      <c r="G42" s="12"/>
      <c r="H42" s="12"/>
      <c r="I42" s="12"/>
      <c r="J42" s="12"/>
      <c r="K42" s="12"/>
      <c r="L42" s="15"/>
      <c r="M42" s="61">
        <f t="shared" si="41"/>
        <v>0</v>
      </c>
      <c r="N42" s="31">
        <f t="shared" si="292"/>
        <v>0</v>
      </c>
      <c r="O42" s="12">
        <f t="shared" si="292"/>
        <v>0</v>
      </c>
      <c r="P42" s="12">
        <f t="shared" si="292"/>
        <v>0</v>
      </c>
      <c r="Q42" s="12">
        <f t="shared" si="292"/>
        <v>0</v>
      </c>
      <c r="R42" s="12">
        <f t="shared" si="292"/>
        <v>0</v>
      </c>
      <c r="S42" s="12">
        <f t="shared" si="292"/>
        <v>0</v>
      </c>
      <c r="T42" s="15">
        <f t="shared" si="292"/>
        <v>0</v>
      </c>
      <c r="U42" s="59">
        <f t="shared" si="191"/>
        <v>0</v>
      </c>
      <c r="V42" s="26"/>
      <c r="W42" s="42"/>
      <c r="X42" s="31"/>
      <c r="Y42" s="12"/>
      <c r="Z42" s="12"/>
      <c r="AA42" s="12"/>
      <c r="AB42" s="12"/>
      <c r="AC42" s="12"/>
      <c r="AD42" s="15"/>
      <c r="AE42" s="15"/>
      <c r="AF42" s="61">
        <f t="shared" si="42"/>
        <v>0</v>
      </c>
      <c r="AG42" s="35">
        <f t="shared" si="43"/>
        <v>0</v>
      </c>
      <c r="AH42" s="35">
        <f t="shared" si="43"/>
        <v>0</v>
      </c>
      <c r="AI42" s="35">
        <f t="shared" si="43"/>
        <v>0</v>
      </c>
      <c r="AJ42" s="35">
        <f t="shared" si="43"/>
        <v>0</v>
      </c>
      <c r="AK42" s="35">
        <f t="shared" si="43"/>
        <v>0</v>
      </c>
      <c r="AL42" s="35">
        <f t="shared" si="43"/>
        <v>0</v>
      </c>
      <c r="AM42" s="35">
        <f t="shared" si="43"/>
        <v>0</v>
      </c>
      <c r="AN42" s="35">
        <f t="shared" si="43"/>
        <v>0</v>
      </c>
      <c r="AO42" s="62">
        <f t="shared" si="44"/>
        <v>0</v>
      </c>
      <c r="AP42" s="26"/>
      <c r="AQ42" s="42"/>
      <c r="AR42" s="12"/>
      <c r="AS42" s="12"/>
      <c r="AT42" s="12"/>
      <c r="AU42" s="12"/>
      <c r="AV42" s="15"/>
      <c r="AW42" s="15"/>
      <c r="AX42" s="61">
        <f t="shared" si="45"/>
        <v>0</v>
      </c>
      <c r="AY42" s="35">
        <f t="shared" si="273"/>
        <v>0</v>
      </c>
      <c r="AZ42" s="35">
        <f t="shared" si="273"/>
        <v>0</v>
      </c>
      <c r="BA42" s="35">
        <f t="shared" si="273"/>
        <v>0</v>
      </c>
      <c r="BB42" s="35">
        <f t="shared" si="273"/>
        <v>0</v>
      </c>
      <c r="BC42" s="35">
        <f t="shared" si="273"/>
        <v>0</v>
      </c>
      <c r="BD42" s="34">
        <f t="shared" si="273"/>
        <v>0</v>
      </c>
      <c r="BE42" s="59">
        <f t="shared" si="46"/>
        <v>0</v>
      </c>
      <c r="BF42" s="26"/>
      <c r="BG42" s="42"/>
      <c r="BH42" s="12"/>
      <c r="BI42" s="12"/>
      <c r="BJ42" s="12"/>
      <c r="BK42" s="12"/>
      <c r="BL42" s="15"/>
      <c r="BM42" s="15"/>
      <c r="BN42" s="15"/>
      <c r="BO42" s="61">
        <f t="shared" si="3"/>
        <v>0</v>
      </c>
      <c r="BP42" s="65">
        <f t="shared" si="274"/>
        <v>0</v>
      </c>
      <c r="BQ42" s="33">
        <f t="shared" si="274"/>
        <v>0</v>
      </c>
      <c r="BR42" s="33">
        <f t="shared" si="274"/>
        <v>0</v>
      </c>
      <c r="BS42" s="33">
        <f t="shared" si="274"/>
        <v>0</v>
      </c>
      <c r="BT42" s="33">
        <f t="shared" si="274"/>
        <v>0</v>
      </c>
      <c r="BU42" s="33">
        <f t="shared" si="274"/>
        <v>0</v>
      </c>
      <c r="BV42" s="34">
        <f t="shared" si="274"/>
        <v>0</v>
      </c>
      <c r="BW42" s="59">
        <f t="shared" si="192"/>
        <v>0</v>
      </c>
      <c r="BX42" s="26"/>
      <c r="BY42" s="68"/>
      <c r="BZ42" s="31"/>
      <c r="CA42" s="12"/>
      <c r="CB42" s="12"/>
      <c r="CC42" s="12"/>
      <c r="CD42" s="15"/>
      <c r="CE42" s="15"/>
      <c r="CF42" s="15"/>
      <c r="CG42" s="61">
        <f t="shared" si="5"/>
        <v>0</v>
      </c>
      <c r="CH42" s="66">
        <f t="shared" si="47"/>
        <v>0</v>
      </c>
      <c r="CI42" s="12">
        <f t="shared" si="47"/>
        <v>0</v>
      </c>
      <c r="CJ42" s="12">
        <f t="shared" si="47"/>
        <v>0</v>
      </c>
      <c r="CK42" s="12">
        <f t="shared" si="47"/>
        <v>0</v>
      </c>
      <c r="CL42" s="12">
        <f t="shared" si="47"/>
        <v>0</v>
      </c>
      <c r="CM42" s="12">
        <f t="shared" si="47"/>
        <v>0</v>
      </c>
      <c r="CN42" s="16">
        <f t="shared" si="47"/>
        <v>0</v>
      </c>
      <c r="CO42" s="59">
        <f t="shared" si="193"/>
        <v>0</v>
      </c>
      <c r="CP42" s="26"/>
      <c r="CQ42" s="42"/>
      <c r="CR42" s="12"/>
      <c r="CS42" s="12"/>
      <c r="CT42" s="12"/>
      <c r="CU42" s="12"/>
      <c r="CV42" s="15"/>
      <c r="CW42" s="15"/>
      <c r="CX42" s="15"/>
      <c r="CY42" s="61">
        <f t="shared" si="7"/>
        <v>0</v>
      </c>
      <c r="CZ42" s="66">
        <f t="shared" si="194"/>
        <v>0</v>
      </c>
      <c r="DA42" s="12">
        <f t="shared" si="194"/>
        <v>0</v>
      </c>
      <c r="DB42" s="12">
        <f t="shared" si="194"/>
        <v>0</v>
      </c>
      <c r="DC42" s="12">
        <f t="shared" si="194"/>
        <v>0</v>
      </c>
      <c r="DD42" s="12">
        <f t="shared" si="194"/>
        <v>0</v>
      </c>
      <c r="DE42" s="12">
        <f t="shared" si="194"/>
        <v>0</v>
      </c>
      <c r="DF42" s="16">
        <f t="shared" si="194"/>
        <v>0</v>
      </c>
      <c r="DG42" s="59">
        <f t="shared" si="195"/>
        <v>0</v>
      </c>
      <c r="DH42" s="26"/>
      <c r="DI42" s="42"/>
      <c r="DJ42" s="12"/>
      <c r="DK42" s="12"/>
      <c r="DL42" s="12"/>
      <c r="DM42" s="12"/>
      <c r="DN42" s="15"/>
      <c r="DO42" s="15"/>
      <c r="DP42" s="15"/>
      <c r="DQ42" s="61">
        <f t="shared" si="9"/>
        <v>0</v>
      </c>
      <c r="DR42" s="66">
        <f t="shared" si="48"/>
        <v>0</v>
      </c>
      <c r="DS42" s="12">
        <f t="shared" si="48"/>
        <v>0</v>
      </c>
      <c r="DT42" s="12">
        <f t="shared" si="48"/>
        <v>0</v>
      </c>
      <c r="DU42" s="12">
        <f t="shared" si="48"/>
        <v>0</v>
      </c>
      <c r="DV42" s="12">
        <f t="shared" si="48"/>
        <v>0</v>
      </c>
      <c r="DW42" s="12">
        <f t="shared" si="48"/>
        <v>0</v>
      </c>
      <c r="DX42" s="16">
        <f t="shared" si="48"/>
        <v>0</v>
      </c>
      <c r="DY42" s="59">
        <f t="shared" si="196"/>
        <v>0</v>
      </c>
      <c r="DZ42" s="26"/>
      <c r="EA42" s="42"/>
      <c r="EB42" s="12"/>
      <c r="EC42" s="12"/>
      <c r="ED42" s="12"/>
      <c r="EE42" s="15"/>
      <c r="EF42" s="15"/>
      <c r="EG42" s="15"/>
      <c r="EH42" s="61">
        <f t="shared" si="197"/>
        <v>0</v>
      </c>
      <c r="EI42" s="66">
        <f t="shared" si="275"/>
        <v>0</v>
      </c>
      <c r="EJ42" s="12">
        <f t="shared" si="275"/>
        <v>0</v>
      </c>
      <c r="EK42" s="12">
        <f t="shared" si="275"/>
        <v>0</v>
      </c>
      <c r="EL42" s="12">
        <f t="shared" si="275"/>
        <v>0</v>
      </c>
      <c r="EM42" s="12">
        <f t="shared" si="275"/>
        <v>0</v>
      </c>
      <c r="EN42" s="16">
        <f t="shared" si="275"/>
        <v>0</v>
      </c>
      <c r="EO42" s="59">
        <f t="shared" si="198"/>
        <v>0</v>
      </c>
      <c r="EP42" s="26"/>
      <c r="EQ42" s="42"/>
      <c r="ER42" s="12"/>
      <c r="ES42" s="12"/>
      <c r="ET42" s="15"/>
      <c r="EU42" s="15"/>
      <c r="EV42" s="61">
        <f t="shared" si="199"/>
        <v>0</v>
      </c>
      <c r="EW42" s="66">
        <f t="shared" si="49"/>
        <v>0</v>
      </c>
      <c r="EX42" s="12">
        <f t="shared" si="49"/>
        <v>0</v>
      </c>
      <c r="EY42" s="12">
        <f t="shared" si="49"/>
        <v>0</v>
      </c>
      <c r="EZ42" s="16">
        <f t="shared" si="49"/>
        <v>0</v>
      </c>
      <c r="FA42" s="59">
        <f t="shared" si="200"/>
        <v>0</v>
      </c>
      <c r="FB42" s="26">
        <v>25000</v>
      </c>
      <c r="FC42" s="42">
        <v>1</v>
      </c>
      <c r="FD42" s="12">
        <v>1</v>
      </c>
      <c r="FE42" s="15"/>
      <c r="FF42" s="15"/>
      <c r="FG42" s="61">
        <f t="shared" si="201"/>
        <v>0</v>
      </c>
      <c r="FH42" s="66">
        <f t="shared" si="50"/>
        <v>25000</v>
      </c>
      <c r="FI42" s="12">
        <f t="shared" si="50"/>
        <v>0</v>
      </c>
      <c r="FJ42" s="16">
        <f t="shared" si="50"/>
        <v>0</v>
      </c>
      <c r="FK42" s="59">
        <f t="shared" si="202"/>
        <v>0</v>
      </c>
      <c r="FL42" s="26">
        <v>25000</v>
      </c>
      <c r="FM42" s="42">
        <v>1</v>
      </c>
      <c r="FN42" s="12"/>
      <c r="FO42" s="15">
        <v>1</v>
      </c>
      <c r="FP42" s="15"/>
      <c r="FQ42" s="15"/>
      <c r="FR42" s="15"/>
      <c r="FS42" s="61">
        <f t="shared" si="203"/>
        <v>0</v>
      </c>
      <c r="FT42" s="66">
        <f t="shared" si="204"/>
        <v>0</v>
      </c>
      <c r="FU42" s="12">
        <f t="shared" si="205"/>
        <v>25000</v>
      </c>
      <c r="FV42" s="12">
        <f t="shared" si="206"/>
        <v>0</v>
      </c>
      <c r="FW42" s="12">
        <f t="shared" si="207"/>
        <v>0</v>
      </c>
      <c r="FX42" s="16">
        <f t="shared" si="51"/>
        <v>0</v>
      </c>
      <c r="FY42" s="59">
        <f t="shared" si="52"/>
        <v>0</v>
      </c>
      <c r="FZ42" s="26">
        <v>25000</v>
      </c>
      <c r="GA42" s="42">
        <v>1</v>
      </c>
      <c r="GB42" s="12">
        <v>1</v>
      </c>
      <c r="GC42" s="15"/>
      <c r="GD42" s="15"/>
      <c r="GE42" s="15"/>
      <c r="GF42" s="61">
        <f t="shared" si="208"/>
        <v>0</v>
      </c>
      <c r="GG42" s="66">
        <f t="shared" si="53"/>
        <v>25000</v>
      </c>
      <c r="GH42" s="66">
        <f>IF($GA42&lt;&gt;0,GB42*$FZ42/$GA42,0)</f>
        <v>25000</v>
      </c>
      <c r="GI42" s="12">
        <f t="shared" si="289"/>
        <v>0</v>
      </c>
      <c r="GJ42" s="12">
        <f t="shared" si="179"/>
        <v>0</v>
      </c>
      <c r="GK42" s="31">
        <f t="shared" si="290"/>
        <v>0</v>
      </c>
      <c r="GL42" s="123">
        <f t="shared" si="291"/>
        <v>0</v>
      </c>
      <c r="GM42" s="410">
        <f t="shared" si="16"/>
        <v>0</v>
      </c>
      <c r="GN42" s="414">
        <v>25000</v>
      </c>
      <c r="GO42" s="42">
        <v>1</v>
      </c>
      <c r="GP42" s="12"/>
      <c r="GQ42" s="15">
        <v>1</v>
      </c>
      <c r="GR42" s="15"/>
      <c r="GS42" s="15"/>
      <c r="GT42" s="15"/>
      <c r="GU42" s="61">
        <f t="shared" si="54"/>
        <v>0</v>
      </c>
      <c r="GV42" s="66">
        <f t="shared" si="17"/>
        <v>0</v>
      </c>
      <c r="GW42" s="12">
        <f t="shared" si="18"/>
        <v>25000</v>
      </c>
      <c r="GX42" s="12">
        <f t="shared" si="19"/>
        <v>0</v>
      </c>
      <c r="GY42" s="12">
        <f t="shared" si="20"/>
        <v>0</v>
      </c>
      <c r="GZ42" s="16">
        <f t="shared" si="21"/>
        <v>0</v>
      </c>
      <c r="HA42" s="59">
        <f t="shared" si="55"/>
        <v>0</v>
      </c>
      <c r="HB42" s="26">
        <v>30000</v>
      </c>
      <c r="HC42" s="42">
        <v>1</v>
      </c>
      <c r="HD42" s="12"/>
      <c r="HE42" s="15">
        <v>1</v>
      </c>
      <c r="HF42" s="15"/>
      <c r="HG42" s="15"/>
      <c r="HH42" s="15"/>
      <c r="HI42" s="15"/>
      <c r="HJ42" s="15"/>
      <c r="HK42" s="15"/>
      <c r="HL42" s="61">
        <f t="shared" si="56"/>
        <v>0</v>
      </c>
      <c r="HM42" s="66">
        <f t="shared" si="22"/>
        <v>0</v>
      </c>
      <c r="HN42" s="12">
        <f t="shared" si="23"/>
        <v>30000</v>
      </c>
      <c r="HO42" s="12">
        <f t="shared" si="24"/>
        <v>0</v>
      </c>
      <c r="HP42" s="12">
        <f t="shared" si="25"/>
        <v>0</v>
      </c>
      <c r="HQ42" s="12">
        <f t="shared" si="26"/>
        <v>0</v>
      </c>
      <c r="HR42" s="12">
        <f t="shared" si="27"/>
        <v>0</v>
      </c>
      <c r="HS42" s="12">
        <f t="shared" si="28"/>
        <v>0</v>
      </c>
      <c r="HT42" s="16">
        <f t="shared" si="29"/>
        <v>0</v>
      </c>
      <c r="HU42" s="59">
        <f t="shared" si="57"/>
        <v>0</v>
      </c>
      <c r="HV42" s="26">
        <v>25000</v>
      </c>
      <c r="HW42" s="42">
        <v>1</v>
      </c>
      <c r="HX42" s="12"/>
      <c r="HY42" s="15"/>
      <c r="HZ42" s="61">
        <f t="shared" si="58"/>
        <v>1</v>
      </c>
      <c r="IA42" s="66">
        <f t="shared" si="59"/>
        <v>0</v>
      </c>
      <c r="IB42" s="16">
        <f t="shared" si="59"/>
        <v>0</v>
      </c>
      <c r="IC42" s="59">
        <f t="shared" si="60"/>
        <v>25000</v>
      </c>
      <c r="ID42" s="129">
        <f>15714.29+12380.9</f>
        <v>28095.19</v>
      </c>
      <c r="IE42" s="42">
        <v>1</v>
      </c>
      <c r="IF42" s="12"/>
      <c r="IG42" s="15">
        <v>1</v>
      </c>
      <c r="IH42" s="15"/>
      <c r="II42" s="15"/>
      <c r="IJ42" s="15"/>
      <c r="IK42" s="15"/>
      <c r="IL42" s="15"/>
      <c r="IM42" s="15"/>
      <c r="IN42" s="15"/>
      <c r="IO42" s="61">
        <f t="shared" si="61"/>
        <v>0</v>
      </c>
      <c r="IP42" s="66">
        <f t="shared" si="62"/>
        <v>0</v>
      </c>
      <c r="IQ42" s="12">
        <f t="shared" si="63"/>
        <v>28095.19</v>
      </c>
      <c r="IR42" s="12">
        <f t="shared" si="64"/>
        <v>0</v>
      </c>
      <c r="IS42" s="12">
        <f t="shared" si="65"/>
        <v>0</v>
      </c>
      <c r="IT42" s="12">
        <f t="shared" si="66"/>
        <v>0</v>
      </c>
      <c r="IU42" s="12">
        <f t="shared" si="67"/>
        <v>0</v>
      </c>
      <c r="IV42" s="12">
        <f t="shared" si="68"/>
        <v>0</v>
      </c>
      <c r="IW42" s="15">
        <f t="shared" si="69"/>
        <v>0</v>
      </c>
      <c r="IX42" s="16">
        <f t="shared" si="69"/>
        <v>0</v>
      </c>
      <c r="IY42" s="59">
        <f t="shared" si="70"/>
        <v>0</v>
      </c>
      <c r="IZ42" s="129">
        <v>30000</v>
      </c>
      <c r="JA42" s="42">
        <v>1</v>
      </c>
      <c r="JB42" s="12"/>
      <c r="JC42" s="15">
        <v>1</v>
      </c>
      <c r="JD42" s="15"/>
      <c r="JE42" s="15"/>
      <c r="JF42" s="15"/>
      <c r="JG42" s="15"/>
      <c r="JH42" s="15"/>
      <c r="JI42" s="15"/>
      <c r="JJ42" s="15"/>
      <c r="JK42" s="61">
        <f t="shared" si="71"/>
        <v>0</v>
      </c>
      <c r="JL42" s="66">
        <f t="shared" si="72"/>
        <v>0</v>
      </c>
      <c r="JM42" s="12">
        <f t="shared" si="276"/>
        <v>30000</v>
      </c>
      <c r="JN42" s="12">
        <f t="shared" si="277"/>
        <v>0</v>
      </c>
      <c r="JO42" s="12">
        <f t="shared" si="278"/>
        <v>0</v>
      </c>
      <c r="JP42" s="12">
        <f t="shared" si="279"/>
        <v>0</v>
      </c>
      <c r="JQ42" s="12">
        <f t="shared" si="280"/>
        <v>0</v>
      </c>
      <c r="JR42" s="12">
        <f t="shared" si="281"/>
        <v>0</v>
      </c>
      <c r="JS42" s="12">
        <f t="shared" si="282"/>
        <v>0</v>
      </c>
      <c r="JT42" s="16">
        <f t="shared" si="283"/>
        <v>0</v>
      </c>
      <c r="JU42" s="59">
        <f t="shared" si="81"/>
        <v>0</v>
      </c>
      <c r="JV42" s="129">
        <v>30000</v>
      </c>
      <c r="JW42" s="42">
        <v>1</v>
      </c>
      <c r="JX42" s="12"/>
      <c r="JY42" s="12"/>
      <c r="JZ42" s="15"/>
      <c r="KA42" s="15"/>
      <c r="KB42" s="15"/>
      <c r="KC42" s="15">
        <v>1</v>
      </c>
      <c r="KD42" s="15"/>
      <c r="KE42" s="15"/>
      <c r="KF42" s="15"/>
      <c r="KG42" s="61">
        <f t="shared" si="82"/>
        <v>0</v>
      </c>
      <c r="KH42" s="146">
        <f t="shared" si="83"/>
        <v>0</v>
      </c>
      <c r="KI42" s="12">
        <f t="shared" si="83"/>
        <v>0</v>
      </c>
      <c r="KJ42" s="12">
        <f t="shared" si="84"/>
        <v>0</v>
      </c>
      <c r="KK42" s="12">
        <f t="shared" si="85"/>
        <v>0</v>
      </c>
      <c r="KL42" s="12">
        <f t="shared" si="86"/>
        <v>0</v>
      </c>
      <c r="KM42" s="12">
        <f t="shared" si="87"/>
        <v>30000</v>
      </c>
      <c r="KN42" s="12">
        <f t="shared" si="88"/>
        <v>0</v>
      </c>
      <c r="KO42" s="12">
        <f t="shared" si="89"/>
        <v>0</v>
      </c>
      <c r="KP42" s="16">
        <f t="shared" si="90"/>
        <v>0</v>
      </c>
      <c r="KQ42" s="59">
        <f t="shared" si="91"/>
        <v>0</v>
      </c>
      <c r="KR42" s="129">
        <v>30000</v>
      </c>
      <c r="KS42" s="42">
        <v>1</v>
      </c>
      <c r="KT42" s="12"/>
      <c r="KU42" s="15"/>
      <c r="KV42" s="15"/>
      <c r="KW42" s="15"/>
      <c r="KX42" s="15">
        <v>1</v>
      </c>
      <c r="KY42" s="15"/>
      <c r="KZ42" s="15"/>
      <c r="LA42" s="15"/>
      <c r="LB42" s="61">
        <f t="shared" si="92"/>
        <v>0</v>
      </c>
      <c r="LC42" s="66">
        <f t="shared" si="93"/>
        <v>0</v>
      </c>
      <c r="LD42" s="12">
        <f t="shared" si="94"/>
        <v>0</v>
      </c>
      <c r="LE42" s="12">
        <f t="shared" si="95"/>
        <v>0</v>
      </c>
      <c r="LF42" s="12">
        <f t="shared" si="96"/>
        <v>0</v>
      </c>
      <c r="LG42" s="12">
        <f t="shared" si="97"/>
        <v>30000</v>
      </c>
      <c r="LH42" s="12">
        <f t="shared" si="98"/>
        <v>0</v>
      </c>
      <c r="LI42" s="12">
        <f t="shared" si="99"/>
        <v>0</v>
      </c>
      <c r="LJ42" s="16">
        <f t="shared" si="100"/>
        <v>0</v>
      </c>
      <c r="LK42" s="59">
        <f t="shared" si="101"/>
        <v>0</v>
      </c>
      <c r="LL42" s="129">
        <v>30000</v>
      </c>
      <c r="LM42" s="42">
        <v>1</v>
      </c>
      <c r="LN42" s="15"/>
      <c r="LO42" s="15"/>
      <c r="LP42" s="15"/>
      <c r="LQ42" s="15">
        <v>1</v>
      </c>
      <c r="LR42" s="15"/>
      <c r="LS42" s="15"/>
      <c r="LT42" s="15"/>
      <c r="LU42" s="61">
        <f t="shared" si="102"/>
        <v>0</v>
      </c>
      <c r="LV42" s="66">
        <f t="shared" si="103"/>
        <v>0</v>
      </c>
      <c r="LW42" s="12">
        <f t="shared" si="104"/>
        <v>0</v>
      </c>
      <c r="LX42" s="12">
        <f t="shared" si="105"/>
        <v>0</v>
      </c>
      <c r="LY42" s="12">
        <f t="shared" si="106"/>
        <v>30000</v>
      </c>
      <c r="LZ42" s="12">
        <f t="shared" si="107"/>
        <v>0</v>
      </c>
      <c r="MA42" s="12">
        <f t="shared" si="108"/>
        <v>0</v>
      </c>
      <c r="MB42" s="16">
        <f t="shared" si="109"/>
        <v>0</v>
      </c>
      <c r="MC42" s="59">
        <f t="shared" si="110"/>
        <v>0</v>
      </c>
      <c r="MD42" s="129">
        <v>30000</v>
      </c>
      <c r="ME42" s="42">
        <v>1</v>
      </c>
      <c r="MF42" s="15"/>
      <c r="MG42" s="15"/>
      <c r="MH42" s="15">
        <v>1</v>
      </c>
      <c r="MI42" s="15"/>
      <c r="MJ42" s="15"/>
      <c r="MK42" s="15"/>
      <c r="ML42" s="15"/>
      <c r="MM42" s="61">
        <f t="shared" si="111"/>
        <v>0</v>
      </c>
      <c r="MN42" s="66">
        <f t="shared" si="112"/>
        <v>0</v>
      </c>
      <c r="MO42" s="12">
        <f t="shared" si="113"/>
        <v>0</v>
      </c>
      <c r="MP42" s="12">
        <f t="shared" si="114"/>
        <v>30000</v>
      </c>
      <c r="MQ42" s="12">
        <f t="shared" si="115"/>
        <v>0</v>
      </c>
      <c r="MR42" s="12">
        <f t="shared" si="116"/>
        <v>0</v>
      </c>
      <c r="MS42" s="12">
        <f t="shared" si="116"/>
        <v>0</v>
      </c>
      <c r="MT42" s="16">
        <f t="shared" si="117"/>
        <v>0</v>
      </c>
      <c r="MU42" s="59">
        <f t="shared" si="189"/>
        <v>0</v>
      </c>
      <c r="MV42" s="617">
        <v>30000</v>
      </c>
      <c r="MW42" s="623">
        <v>1</v>
      </c>
      <c r="MX42" s="15"/>
      <c r="MY42" s="15"/>
      <c r="MZ42" s="15">
        <v>1</v>
      </c>
      <c r="NA42" s="15"/>
      <c r="NB42" s="15"/>
      <c r="NC42" s="15"/>
      <c r="ND42" s="15"/>
      <c r="NE42" s="61">
        <f t="shared" si="118"/>
        <v>0</v>
      </c>
      <c r="NF42" s="66">
        <f t="shared" si="119"/>
        <v>0</v>
      </c>
      <c r="NG42" s="12">
        <f t="shared" si="120"/>
        <v>0</v>
      </c>
      <c r="NH42" s="12">
        <f t="shared" si="121"/>
        <v>30000</v>
      </c>
      <c r="NI42" s="12">
        <f t="shared" si="122"/>
        <v>0</v>
      </c>
      <c r="NJ42" s="12">
        <f t="shared" si="123"/>
        <v>0</v>
      </c>
      <c r="NK42" s="12">
        <f t="shared" si="123"/>
        <v>0</v>
      </c>
      <c r="NL42" s="16">
        <f t="shared" si="124"/>
        <v>0</v>
      </c>
      <c r="NM42" s="59">
        <f t="shared" si="125"/>
        <v>0</v>
      </c>
      <c r="NN42" s="617">
        <v>30000</v>
      </c>
      <c r="NO42" s="623">
        <v>1</v>
      </c>
      <c r="NP42" s="15"/>
      <c r="NQ42" s="15">
        <v>1</v>
      </c>
      <c r="NR42" s="15"/>
      <c r="NS42" s="15"/>
      <c r="NT42" s="15"/>
      <c r="NU42" s="61">
        <f t="shared" si="126"/>
        <v>0</v>
      </c>
      <c r="NV42" s="66">
        <f t="shared" si="190"/>
        <v>0</v>
      </c>
      <c r="NW42" s="12">
        <f t="shared" si="209"/>
        <v>30000</v>
      </c>
      <c r="NX42" s="12">
        <f t="shared" si="210"/>
        <v>0</v>
      </c>
      <c r="NY42" s="12">
        <f t="shared" si="211"/>
        <v>0</v>
      </c>
      <c r="NZ42" s="16">
        <f t="shared" si="212"/>
        <v>0</v>
      </c>
      <c r="OA42" s="59">
        <f t="shared" si="131"/>
        <v>0</v>
      </c>
      <c r="OB42" s="131">
        <v>30000</v>
      </c>
      <c r="OC42" s="136">
        <v>1</v>
      </c>
      <c r="OD42" s="15"/>
      <c r="OE42" s="15">
        <v>1</v>
      </c>
      <c r="OF42" s="15"/>
      <c r="OG42" s="15"/>
      <c r="OH42" s="15"/>
      <c r="OI42" s="61">
        <f t="shared" si="163"/>
        <v>0</v>
      </c>
      <c r="OJ42" s="66">
        <f t="shared" si="132"/>
        <v>0</v>
      </c>
      <c r="OK42" s="12">
        <f t="shared" si="133"/>
        <v>30000</v>
      </c>
      <c r="OL42" s="12">
        <f t="shared" si="134"/>
        <v>0</v>
      </c>
      <c r="OM42" s="12">
        <f t="shared" si="135"/>
        <v>0</v>
      </c>
      <c r="ON42" s="16">
        <f t="shared" si="136"/>
        <v>0</v>
      </c>
      <c r="OO42" s="59">
        <f t="shared" si="137"/>
        <v>0</v>
      </c>
      <c r="OP42" s="131">
        <v>30000</v>
      </c>
      <c r="OQ42" s="136">
        <v>1</v>
      </c>
      <c r="OR42" s="15"/>
      <c r="OS42" s="15">
        <v>0.5</v>
      </c>
      <c r="OT42" s="15"/>
      <c r="OU42" s="15"/>
      <c r="OV42" s="15"/>
      <c r="OW42" s="61">
        <f t="shared" si="138"/>
        <v>0.5</v>
      </c>
      <c r="OX42" s="66">
        <f t="shared" si="139"/>
        <v>0</v>
      </c>
      <c r="OY42" s="12">
        <f t="shared" si="140"/>
        <v>15000</v>
      </c>
      <c r="OZ42" s="12">
        <f t="shared" si="141"/>
        <v>0</v>
      </c>
      <c r="PA42" s="12">
        <f t="shared" si="142"/>
        <v>0</v>
      </c>
      <c r="PB42" s="16">
        <f t="shared" si="143"/>
        <v>0</v>
      </c>
      <c r="PC42" s="59">
        <f t="shared" si="144"/>
        <v>15000</v>
      </c>
      <c r="PD42" s="131">
        <v>30000</v>
      </c>
      <c r="PE42" s="136">
        <v>1</v>
      </c>
      <c r="PF42" s="15"/>
      <c r="PG42" s="15"/>
      <c r="PH42" s="15"/>
      <c r="PI42" s="15"/>
      <c r="PJ42" s="15"/>
      <c r="PK42" s="61">
        <f t="shared" si="145"/>
        <v>1</v>
      </c>
      <c r="PL42" s="66">
        <f t="shared" si="174"/>
        <v>0</v>
      </c>
      <c r="PM42" s="12">
        <f t="shared" si="175"/>
        <v>0</v>
      </c>
      <c r="PN42" s="12">
        <f t="shared" si="176"/>
        <v>0</v>
      </c>
      <c r="PO42" s="12">
        <f t="shared" si="177"/>
        <v>0</v>
      </c>
      <c r="PP42" s="16">
        <f t="shared" si="178"/>
        <v>0</v>
      </c>
      <c r="PQ42" s="59">
        <f t="shared" si="150"/>
        <v>30000</v>
      </c>
      <c r="PS42" s="884">
        <f t="shared" si="151"/>
        <v>0</v>
      </c>
    </row>
    <row r="43" spans="2:435" x14ac:dyDescent="0.2">
      <c r="B43" s="24">
        <v>32</v>
      </c>
      <c r="C43" s="25" t="s">
        <v>15</v>
      </c>
      <c r="D43" s="26">
        <v>66000</v>
      </c>
      <c r="E43" s="42">
        <v>1</v>
      </c>
      <c r="F43" s="31">
        <v>0.5</v>
      </c>
      <c r="G43" s="12">
        <v>0.1</v>
      </c>
      <c r="H43" s="12">
        <v>0.2</v>
      </c>
      <c r="I43" s="12">
        <v>0.2</v>
      </c>
      <c r="J43" s="12"/>
      <c r="K43" s="12"/>
      <c r="L43" s="15"/>
      <c r="M43" s="61">
        <f t="shared" si="41"/>
        <v>0</v>
      </c>
      <c r="N43" s="31">
        <f t="shared" si="292"/>
        <v>33000</v>
      </c>
      <c r="O43" s="12">
        <f t="shared" si="292"/>
        <v>6600</v>
      </c>
      <c r="P43" s="12">
        <f t="shared" si="292"/>
        <v>13200</v>
      </c>
      <c r="Q43" s="12">
        <f t="shared" si="292"/>
        <v>13200</v>
      </c>
      <c r="R43" s="12">
        <f t="shared" si="292"/>
        <v>0</v>
      </c>
      <c r="S43" s="12">
        <f t="shared" si="292"/>
        <v>0</v>
      </c>
      <c r="T43" s="15">
        <f t="shared" si="292"/>
        <v>0</v>
      </c>
      <c r="U43" s="59">
        <f t="shared" si="191"/>
        <v>0</v>
      </c>
      <c r="V43" s="26">
        <v>77000</v>
      </c>
      <c r="W43" s="42">
        <v>1</v>
      </c>
      <c r="X43" s="31"/>
      <c r="Y43" s="12">
        <v>0.2</v>
      </c>
      <c r="Z43" s="12">
        <v>0.1</v>
      </c>
      <c r="AA43" s="12">
        <v>0.1</v>
      </c>
      <c r="AB43" s="12"/>
      <c r="AC43" s="12"/>
      <c r="AD43" s="15"/>
      <c r="AE43" s="15">
        <v>0.6</v>
      </c>
      <c r="AF43" s="61">
        <f t="shared" si="42"/>
        <v>0</v>
      </c>
      <c r="AG43" s="35">
        <f t="shared" si="43"/>
        <v>0</v>
      </c>
      <c r="AH43" s="35">
        <f t="shared" si="43"/>
        <v>15400</v>
      </c>
      <c r="AI43" s="35">
        <f t="shared" si="43"/>
        <v>7700</v>
      </c>
      <c r="AJ43" s="35">
        <f t="shared" si="43"/>
        <v>7700</v>
      </c>
      <c r="AK43" s="35">
        <f t="shared" si="43"/>
        <v>0</v>
      </c>
      <c r="AL43" s="35">
        <f t="shared" si="43"/>
        <v>0</v>
      </c>
      <c r="AM43" s="35">
        <f t="shared" si="43"/>
        <v>0</v>
      </c>
      <c r="AN43" s="35">
        <f t="shared" si="43"/>
        <v>46200</v>
      </c>
      <c r="AO43" s="62">
        <f t="shared" si="44"/>
        <v>0</v>
      </c>
      <c r="AP43" s="26">
        <v>77000</v>
      </c>
      <c r="AQ43" s="42">
        <v>1</v>
      </c>
      <c r="AR43" s="12"/>
      <c r="AS43" s="12">
        <v>0.1</v>
      </c>
      <c r="AT43" s="12">
        <v>0.3</v>
      </c>
      <c r="AU43" s="12"/>
      <c r="AV43" s="15">
        <v>0.2</v>
      </c>
      <c r="AW43" s="15">
        <v>0.4</v>
      </c>
      <c r="AX43" s="61">
        <f t="shared" si="45"/>
        <v>0</v>
      </c>
      <c r="AY43" s="35">
        <f t="shared" si="273"/>
        <v>0</v>
      </c>
      <c r="AZ43" s="35">
        <f t="shared" si="273"/>
        <v>7700</v>
      </c>
      <c r="BA43" s="35">
        <f t="shared" si="273"/>
        <v>23100</v>
      </c>
      <c r="BB43" s="35">
        <f t="shared" si="273"/>
        <v>0</v>
      </c>
      <c r="BC43" s="35">
        <f t="shared" si="273"/>
        <v>15400</v>
      </c>
      <c r="BD43" s="34">
        <f t="shared" si="273"/>
        <v>30800</v>
      </c>
      <c r="BE43" s="59">
        <f t="shared" si="46"/>
        <v>0</v>
      </c>
      <c r="BF43" s="26">
        <v>77000</v>
      </c>
      <c r="BG43" s="42">
        <v>1</v>
      </c>
      <c r="BH43" s="12">
        <v>0.5</v>
      </c>
      <c r="BI43" s="12">
        <v>0.2</v>
      </c>
      <c r="BJ43" s="12"/>
      <c r="BK43" s="12"/>
      <c r="BL43" s="15"/>
      <c r="BM43" s="15"/>
      <c r="BN43" s="15">
        <v>0.3</v>
      </c>
      <c r="BO43" s="61">
        <f t="shared" si="3"/>
        <v>0</v>
      </c>
      <c r="BP43" s="65">
        <f t="shared" si="274"/>
        <v>38500</v>
      </c>
      <c r="BQ43" s="33">
        <f t="shared" si="274"/>
        <v>15400</v>
      </c>
      <c r="BR43" s="33">
        <f t="shared" si="274"/>
        <v>0</v>
      </c>
      <c r="BS43" s="33">
        <f t="shared" si="274"/>
        <v>0</v>
      </c>
      <c r="BT43" s="33">
        <f t="shared" si="274"/>
        <v>0</v>
      </c>
      <c r="BU43" s="33">
        <f t="shared" si="274"/>
        <v>0</v>
      </c>
      <c r="BV43" s="34">
        <f t="shared" si="274"/>
        <v>23100</v>
      </c>
      <c r="BW43" s="59">
        <f t="shared" si="192"/>
        <v>0</v>
      </c>
      <c r="BX43" s="69">
        <v>74738.16</v>
      </c>
      <c r="BY43" s="68">
        <v>1</v>
      </c>
      <c r="BZ43" s="31"/>
      <c r="CA43" s="12">
        <v>0.2</v>
      </c>
      <c r="CB43" s="12"/>
      <c r="CC43" s="12"/>
      <c r="CD43" s="15"/>
      <c r="CE43" s="15">
        <v>0.4</v>
      </c>
      <c r="CF43" s="15">
        <v>0.4</v>
      </c>
      <c r="CG43" s="61">
        <f t="shared" si="5"/>
        <v>0</v>
      </c>
      <c r="CH43" s="66">
        <f t="shared" si="47"/>
        <v>0</v>
      </c>
      <c r="CI43" s="12">
        <f t="shared" si="47"/>
        <v>14947.63</v>
      </c>
      <c r="CJ43" s="12">
        <f t="shared" si="47"/>
        <v>0</v>
      </c>
      <c r="CK43" s="12">
        <f t="shared" si="47"/>
        <v>0</v>
      </c>
      <c r="CL43" s="12">
        <f t="shared" si="47"/>
        <v>0</v>
      </c>
      <c r="CM43" s="12">
        <f t="shared" si="47"/>
        <v>29895.26</v>
      </c>
      <c r="CN43" s="16">
        <f t="shared" si="47"/>
        <v>29895.26</v>
      </c>
      <c r="CO43" s="59">
        <f t="shared" si="193"/>
        <v>0.01</v>
      </c>
      <c r="CP43" s="26">
        <v>77000</v>
      </c>
      <c r="CQ43" s="42">
        <v>1</v>
      </c>
      <c r="CR43" s="12">
        <v>0.4</v>
      </c>
      <c r="CS43" s="12">
        <v>0.2</v>
      </c>
      <c r="CT43" s="12"/>
      <c r="CU43" s="12"/>
      <c r="CV43" s="15"/>
      <c r="CW43" s="15"/>
      <c r="CX43" s="15">
        <v>0.4</v>
      </c>
      <c r="CY43" s="61">
        <f t="shared" si="7"/>
        <v>0</v>
      </c>
      <c r="CZ43" s="66">
        <f t="shared" si="194"/>
        <v>30800</v>
      </c>
      <c r="DA43" s="12">
        <f>IF($CQ43&lt;&gt;0,CS43*$CP43/$CQ43,0)</f>
        <v>15400</v>
      </c>
      <c r="DB43" s="12">
        <f t="shared" si="194"/>
        <v>0</v>
      </c>
      <c r="DC43" s="12">
        <f t="shared" si="194"/>
        <v>0</v>
      </c>
      <c r="DD43" s="12">
        <f t="shared" si="194"/>
        <v>0</v>
      </c>
      <c r="DE43" s="12">
        <f t="shared" si="194"/>
        <v>0</v>
      </c>
      <c r="DF43" s="16">
        <f t="shared" si="194"/>
        <v>30800</v>
      </c>
      <c r="DG43" s="59">
        <f t="shared" si="195"/>
        <v>0</v>
      </c>
      <c r="DH43" s="26">
        <f>58666.33+16788.24</f>
        <v>75454.570000000007</v>
      </c>
      <c r="DI43" s="42">
        <v>1</v>
      </c>
      <c r="DJ43" s="12">
        <v>0.35</v>
      </c>
      <c r="DK43" s="12">
        <v>0.15</v>
      </c>
      <c r="DL43" s="12"/>
      <c r="DM43" s="12"/>
      <c r="DN43" s="15"/>
      <c r="DO43" s="15"/>
      <c r="DP43" s="15">
        <v>0.5</v>
      </c>
      <c r="DQ43" s="61">
        <f t="shared" si="9"/>
        <v>0</v>
      </c>
      <c r="DR43" s="66">
        <f t="shared" si="48"/>
        <v>26409.1</v>
      </c>
      <c r="DS43" s="12">
        <f t="shared" si="48"/>
        <v>11318.19</v>
      </c>
      <c r="DT43" s="12">
        <f t="shared" si="48"/>
        <v>0</v>
      </c>
      <c r="DU43" s="12">
        <f t="shared" si="48"/>
        <v>0</v>
      </c>
      <c r="DV43" s="12">
        <f t="shared" si="48"/>
        <v>0</v>
      </c>
      <c r="DW43" s="12">
        <f t="shared" si="48"/>
        <v>0</v>
      </c>
      <c r="DX43" s="16">
        <f t="shared" si="48"/>
        <v>37727.29</v>
      </c>
      <c r="DY43" s="59">
        <f t="shared" si="196"/>
        <v>-0.01</v>
      </c>
      <c r="DZ43" s="26">
        <f>26782.6+50908.2</f>
        <v>77690.8</v>
      </c>
      <c r="EA43" s="42">
        <v>1</v>
      </c>
      <c r="EB43" s="12">
        <v>0.3</v>
      </c>
      <c r="EC43" s="12">
        <v>0.1</v>
      </c>
      <c r="ED43" s="12"/>
      <c r="EE43" s="15"/>
      <c r="EF43" s="15">
        <v>0.4</v>
      </c>
      <c r="EG43" s="15">
        <v>0.2</v>
      </c>
      <c r="EH43" s="61">
        <f t="shared" si="197"/>
        <v>0</v>
      </c>
      <c r="EI43" s="66">
        <f t="shared" si="275"/>
        <v>23307.24</v>
      </c>
      <c r="EJ43" s="12">
        <f t="shared" si="275"/>
        <v>7769.08</v>
      </c>
      <c r="EK43" s="12">
        <f t="shared" si="275"/>
        <v>0</v>
      </c>
      <c r="EL43" s="12">
        <f t="shared" si="275"/>
        <v>0</v>
      </c>
      <c r="EM43" s="12">
        <f t="shared" si="275"/>
        <v>31076.32</v>
      </c>
      <c r="EN43" s="16">
        <f t="shared" si="275"/>
        <v>15538.16</v>
      </c>
      <c r="EO43" s="59">
        <f t="shared" si="198"/>
        <v>0</v>
      </c>
      <c r="EP43" s="26">
        <v>77000</v>
      </c>
      <c r="EQ43" s="42">
        <v>1</v>
      </c>
      <c r="ER43" s="12">
        <v>0.3</v>
      </c>
      <c r="ES43" s="12">
        <v>0.2</v>
      </c>
      <c r="ET43" s="15">
        <v>0.3</v>
      </c>
      <c r="EU43" s="15">
        <v>0.2</v>
      </c>
      <c r="EV43" s="61">
        <f t="shared" si="199"/>
        <v>0</v>
      </c>
      <c r="EW43" s="66">
        <f t="shared" si="49"/>
        <v>23100</v>
      </c>
      <c r="EX43" s="12">
        <f t="shared" si="49"/>
        <v>15400</v>
      </c>
      <c r="EY43" s="12">
        <f t="shared" si="49"/>
        <v>23100</v>
      </c>
      <c r="EZ43" s="16">
        <f t="shared" si="49"/>
        <v>15400</v>
      </c>
      <c r="FA43" s="59">
        <f t="shared" si="200"/>
        <v>0</v>
      </c>
      <c r="FB43" s="26">
        <v>77000</v>
      </c>
      <c r="FC43" s="42">
        <v>1</v>
      </c>
      <c r="FD43" s="12">
        <v>0.8</v>
      </c>
      <c r="FE43" s="15"/>
      <c r="FF43" s="15">
        <v>0.2</v>
      </c>
      <c r="FG43" s="61">
        <f t="shared" si="201"/>
        <v>0</v>
      </c>
      <c r="FH43" s="66">
        <f t="shared" si="50"/>
        <v>61600</v>
      </c>
      <c r="FI43" s="12">
        <f t="shared" si="50"/>
        <v>0</v>
      </c>
      <c r="FJ43" s="16">
        <f t="shared" si="50"/>
        <v>15400</v>
      </c>
      <c r="FK43" s="59">
        <f t="shared" si="202"/>
        <v>0</v>
      </c>
      <c r="FL43" s="26">
        <v>77000</v>
      </c>
      <c r="FM43" s="42">
        <v>1</v>
      </c>
      <c r="FN43" s="12">
        <v>0.55000000000000004</v>
      </c>
      <c r="FO43" s="15"/>
      <c r="FP43" s="15"/>
      <c r="FQ43" s="15"/>
      <c r="FR43" s="15">
        <v>0.45</v>
      </c>
      <c r="FS43" s="61">
        <f t="shared" si="203"/>
        <v>0</v>
      </c>
      <c r="FT43" s="66">
        <f>IF($FM43&lt;&gt;0,FN43*$FL43/$FM43,0)</f>
        <v>42350</v>
      </c>
      <c r="FU43" s="12">
        <f>IF($FM43&lt;&gt;0,FO43*$FL43/$FM43,0)</f>
        <v>0</v>
      </c>
      <c r="FV43" s="12">
        <f t="shared" si="206"/>
        <v>0</v>
      </c>
      <c r="FW43" s="12">
        <f t="shared" si="207"/>
        <v>0</v>
      </c>
      <c r="FX43" s="16">
        <f t="shared" si="51"/>
        <v>34650</v>
      </c>
      <c r="FY43" s="59">
        <f t="shared" si="52"/>
        <v>0</v>
      </c>
      <c r="FZ43" s="26">
        <f>62999.73+12795.25+200000+43503.85</f>
        <v>319298.83</v>
      </c>
      <c r="GA43" s="42">
        <v>1</v>
      </c>
      <c r="GB43" s="12">
        <v>1</v>
      </c>
      <c r="GC43" s="15"/>
      <c r="GD43" s="15"/>
      <c r="GE43" s="15"/>
      <c r="GF43" s="61">
        <f t="shared" si="208"/>
        <v>0</v>
      </c>
      <c r="GG43" s="66">
        <f t="shared" si="53"/>
        <v>319298.83</v>
      </c>
      <c r="GH43" s="120">
        <f>IF($GA43&lt;&gt;0,GB43*(77000)/$GA43,0)</f>
        <v>77000</v>
      </c>
      <c r="GI43" s="12">
        <f t="shared" si="289"/>
        <v>0</v>
      </c>
      <c r="GJ43" s="12">
        <f t="shared" si="179"/>
        <v>0</v>
      </c>
      <c r="GK43" s="31">
        <f t="shared" si="290"/>
        <v>0</v>
      </c>
      <c r="GL43" s="123">
        <f t="shared" si="291"/>
        <v>0</v>
      </c>
      <c r="GM43" s="410">
        <f t="shared" si="16"/>
        <v>0</v>
      </c>
      <c r="GN43" s="414">
        <f>13124.5+1313+44000</f>
        <v>58437.5</v>
      </c>
      <c r="GO43" s="42">
        <v>1</v>
      </c>
      <c r="GP43" s="12">
        <v>1</v>
      </c>
      <c r="GQ43" s="15"/>
      <c r="GR43" s="15"/>
      <c r="GS43" s="15"/>
      <c r="GT43" s="15"/>
      <c r="GU43" s="61">
        <f t="shared" si="54"/>
        <v>0</v>
      </c>
      <c r="GV43" s="66">
        <f t="shared" si="17"/>
        <v>58437.5</v>
      </c>
      <c r="GW43" s="12">
        <f t="shared" si="18"/>
        <v>0</v>
      </c>
      <c r="GX43" s="12">
        <f t="shared" si="19"/>
        <v>0</v>
      </c>
      <c r="GY43" s="12">
        <f t="shared" si="20"/>
        <v>0</v>
      </c>
      <c r="GZ43" s="16">
        <f t="shared" si="21"/>
        <v>0</v>
      </c>
      <c r="HA43" s="59">
        <f t="shared" si="55"/>
        <v>0</v>
      </c>
      <c r="HB43" s="26">
        <f>90000*1.1</f>
        <v>99000</v>
      </c>
      <c r="HC43" s="42">
        <v>1</v>
      </c>
      <c r="HD43" s="12">
        <v>0.7</v>
      </c>
      <c r="HE43" s="15"/>
      <c r="HF43" s="15">
        <v>0.2</v>
      </c>
      <c r="HG43" s="15"/>
      <c r="HH43" s="15"/>
      <c r="HI43" s="15"/>
      <c r="HJ43" s="15">
        <v>0.1</v>
      </c>
      <c r="HK43" s="15"/>
      <c r="HL43" s="61">
        <f t="shared" si="56"/>
        <v>0</v>
      </c>
      <c r="HM43" s="66">
        <f t="shared" si="22"/>
        <v>69300</v>
      </c>
      <c r="HN43" s="12">
        <f t="shared" si="23"/>
        <v>0</v>
      </c>
      <c r="HO43" s="12">
        <f t="shared" si="24"/>
        <v>19800</v>
      </c>
      <c r="HP43" s="12">
        <f t="shared" si="25"/>
        <v>0</v>
      </c>
      <c r="HQ43" s="12">
        <f t="shared" si="26"/>
        <v>0</v>
      </c>
      <c r="HR43" s="12">
        <f t="shared" si="27"/>
        <v>0</v>
      </c>
      <c r="HS43" s="12">
        <f t="shared" si="28"/>
        <v>9900</v>
      </c>
      <c r="HT43" s="16">
        <f t="shared" si="29"/>
        <v>0</v>
      </c>
      <c r="HU43" s="59">
        <f t="shared" si="57"/>
        <v>0</v>
      </c>
      <c r="HV43" s="26">
        <v>77000</v>
      </c>
      <c r="HW43" s="42">
        <v>1</v>
      </c>
      <c r="HX43" s="12"/>
      <c r="HY43" s="15"/>
      <c r="HZ43" s="61">
        <f t="shared" si="58"/>
        <v>1</v>
      </c>
      <c r="IA43" s="66">
        <f t="shared" si="59"/>
        <v>0</v>
      </c>
      <c r="IB43" s="16">
        <f t="shared" si="59"/>
        <v>0</v>
      </c>
      <c r="IC43" s="59">
        <f t="shared" si="60"/>
        <v>77000</v>
      </c>
      <c r="ID43" s="26">
        <f>90000*1.1</f>
        <v>99000</v>
      </c>
      <c r="IE43" s="42">
        <v>1</v>
      </c>
      <c r="IF43" s="12">
        <v>0.7</v>
      </c>
      <c r="IG43" s="15"/>
      <c r="IH43" s="15">
        <v>0.1</v>
      </c>
      <c r="II43" s="15"/>
      <c r="IJ43" s="15"/>
      <c r="IK43" s="15"/>
      <c r="IL43" s="15">
        <v>0.2</v>
      </c>
      <c r="IM43" s="15"/>
      <c r="IN43" s="15"/>
      <c r="IO43" s="61">
        <f t="shared" si="61"/>
        <v>0</v>
      </c>
      <c r="IP43" s="66">
        <f t="shared" si="62"/>
        <v>69300</v>
      </c>
      <c r="IQ43" s="12">
        <f t="shared" si="63"/>
        <v>0</v>
      </c>
      <c r="IR43" s="12">
        <f t="shared" si="64"/>
        <v>9900</v>
      </c>
      <c r="IS43" s="12">
        <f t="shared" si="65"/>
        <v>0</v>
      </c>
      <c r="IT43" s="12">
        <f t="shared" si="66"/>
        <v>0</v>
      </c>
      <c r="IU43" s="12">
        <f t="shared" si="67"/>
        <v>0</v>
      </c>
      <c r="IV43" s="12">
        <f t="shared" si="68"/>
        <v>19800</v>
      </c>
      <c r="IW43" s="15">
        <f t="shared" si="69"/>
        <v>0</v>
      </c>
      <c r="IX43" s="16">
        <f t="shared" si="69"/>
        <v>0</v>
      </c>
      <c r="IY43" s="59">
        <f t="shared" si="70"/>
        <v>0</v>
      </c>
      <c r="IZ43" s="26">
        <f>90000*1.1</f>
        <v>99000</v>
      </c>
      <c r="JA43" s="42">
        <v>1</v>
      </c>
      <c r="JB43" s="12">
        <v>0.5</v>
      </c>
      <c r="JC43" s="15"/>
      <c r="JD43" s="15">
        <v>0.4</v>
      </c>
      <c r="JE43" s="15"/>
      <c r="JF43" s="15"/>
      <c r="JG43" s="15"/>
      <c r="JH43" s="15">
        <v>0.1</v>
      </c>
      <c r="JI43" s="15"/>
      <c r="JJ43" s="15"/>
      <c r="JK43" s="61">
        <f t="shared" ref="JK43:JK67" si="295">JA43-JB43-JC43-JD43-JE43-JF43-JG43-JH43-JI43-JJ43</f>
        <v>0</v>
      </c>
      <c r="JL43" s="66">
        <f t="shared" si="72"/>
        <v>49500</v>
      </c>
      <c r="JM43" s="12">
        <f t="shared" si="276"/>
        <v>0</v>
      </c>
      <c r="JN43" s="12">
        <f t="shared" si="277"/>
        <v>39600</v>
      </c>
      <c r="JO43" s="12">
        <f t="shared" si="278"/>
        <v>0</v>
      </c>
      <c r="JP43" s="12">
        <f t="shared" si="279"/>
        <v>0</v>
      </c>
      <c r="JQ43" s="12">
        <f t="shared" si="280"/>
        <v>0</v>
      </c>
      <c r="JR43" s="12">
        <f t="shared" si="281"/>
        <v>9900</v>
      </c>
      <c r="JS43" s="12">
        <f t="shared" si="282"/>
        <v>0</v>
      </c>
      <c r="JT43" s="16">
        <f t="shared" si="283"/>
        <v>0</v>
      </c>
      <c r="JU43" s="59">
        <f t="shared" si="81"/>
        <v>0</v>
      </c>
      <c r="JV43" s="26">
        <f>90000*1.1</f>
        <v>99000</v>
      </c>
      <c r="JW43" s="42">
        <v>1</v>
      </c>
      <c r="JX43" s="12">
        <v>0.25</v>
      </c>
      <c r="JY43" s="12">
        <v>0.25</v>
      </c>
      <c r="JZ43" s="15">
        <v>0.35</v>
      </c>
      <c r="KA43" s="15"/>
      <c r="KB43" s="15"/>
      <c r="KC43" s="15"/>
      <c r="KD43" s="15">
        <v>0.15</v>
      </c>
      <c r="KE43" s="15"/>
      <c r="KF43" s="15"/>
      <c r="KG43" s="61">
        <f t="shared" si="82"/>
        <v>0</v>
      </c>
      <c r="KH43" s="147">
        <f t="shared" si="83"/>
        <v>24750</v>
      </c>
      <c r="KI43" s="12">
        <f t="shared" si="83"/>
        <v>24750</v>
      </c>
      <c r="KJ43" s="12">
        <f t="shared" si="84"/>
        <v>34650</v>
      </c>
      <c r="KK43" s="12">
        <f t="shared" si="85"/>
        <v>0</v>
      </c>
      <c r="KL43" s="12">
        <f t="shared" si="86"/>
        <v>0</v>
      </c>
      <c r="KM43" s="12">
        <f t="shared" si="87"/>
        <v>0</v>
      </c>
      <c r="KN43" s="12">
        <f t="shared" si="88"/>
        <v>14850</v>
      </c>
      <c r="KO43" s="12">
        <f t="shared" si="89"/>
        <v>0</v>
      </c>
      <c r="KP43" s="16">
        <f t="shared" si="90"/>
        <v>0</v>
      </c>
      <c r="KQ43" s="59">
        <f t="shared" si="91"/>
        <v>0</v>
      </c>
      <c r="KR43" s="26">
        <f>90000*1.1</f>
        <v>99000</v>
      </c>
      <c r="KS43" s="42">
        <v>1</v>
      </c>
      <c r="KT43" s="12">
        <v>0.25</v>
      </c>
      <c r="KU43" s="15">
        <v>0.45</v>
      </c>
      <c r="KV43" s="15"/>
      <c r="KW43" s="15"/>
      <c r="KX43" s="15"/>
      <c r="KY43" s="15">
        <v>0.3</v>
      </c>
      <c r="KZ43" s="15"/>
      <c r="LA43" s="15"/>
      <c r="LB43" s="61">
        <f t="shared" si="92"/>
        <v>0</v>
      </c>
      <c r="LC43" s="144">
        <f t="shared" si="93"/>
        <v>24750</v>
      </c>
      <c r="LD43" s="12">
        <f t="shared" si="94"/>
        <v>44550</v>
      </c>
      <c r="LE43" s="12">
        <f t="shared" si="95"/>
        <v>0</v>
      </c>
      <c r="LF43" s="12">
        <f t="shared" si="96"/>
        <v>0</v>
      </c>
      <c r="LG43" s="12">
        <f t="shared" si="97"/>
        <v>0</v>
      </c>
      <c r="LH43" s="12">
        <f t="shared" si="98"/>
        <v>29700</v>
      </c>
      <c r="LI43" s="12">
        <f t="shared" si="99"/>
        <v>0</v>
      </c>
      <c r="LJ43" s="16">
        <f t="shared" si="100"/>
        <v>0</v>
      </c>
      <c r="LK43" s="59">
        <f t="shared" si="101"/>
        <v>0</v>
      </c>
      <c r="LL43" s="26">
        <v>97432.74</v>
      </c>
      <c r="LM43" s="42">
        <v>1</v>
      </c>
      <c r="LN43" s="15">
        <v>0.55000000000000004</v>
      </c>
      <c r="LO43" s="15"/>
      <c r="LP43" s="15"/>
      <c r="LQ43" s="15"/>
      <c r="LR43" s="15">
        <v>0.4</v>
      </c>
      <c r="LS43" s="15"/>
      <c r="LT43" s="15"/>
      <c r="LU43" s="61">
        <f t="shared" si="102"/>
        <v>0.05</v>
      </c>
      <c r="LV43" s="66">
        <f t="shared" si="103"/>
        <v>53588.01</v>
      </c>
      <c r="LW43" s="12">
        <f t="shared" si="104"/>
        <v>0</v>
      </c>
      <c r="LX43" s="12">
        <f t="shared" si="105"/>
        <v>0</v>
      </c>
      <c r="LY43" s="12">
        <f t="shared" si="106"/>
        <v>0</v>
      </c>
      <c r="LZ43" s="142">
        <f t="shared" si="107"/>
        <v>38973.1</v>
      </c>
      <c r="MA43" s="12">
        <f t="shared" si="108"/>
        <v>0</v>
      </c>
      <c r="MB43" s="16">
        <f t="shared" si="109"/>
        <v>0</v>
      </c>
      <c r="MC43" s="59">
        <f t="shared" si="110"/>
        <v>4871.63</v>
      </c>
      <c r="MD43" s="26">
        <v>108205.32</v>
      </c>
      <c r="ME43" s="42">
        <v>1</v>
      </c>
      <c r="MF43" s="15">
        <v>0.5</v>
      </c>
      <c r="MG43" s="15"/>
      <c r="MH43" s="15"/>
      <c r="MI43" s="15">
        <v>0.5</v>
      </c>
      <c r="MJ43" s="15"/>
      <c r="MK43" s="15"/>
      <c r="ML43" s="15"/>
      <c r="MM43" s="61">
        <f t="shared" si="111"/>
        <v>0</v>
      </c>
      <c r="MN43" s="144">
        <f t="shared" si="112"/>
        <v>54102.66</v>
      </c>
      <c r="MO43" s="12">
        <f t="shared" si="113"/>
        <v>0</v>
      </c>
      <c r="MP43" s="12">
        <f t="shared" si="114"/>
        <v>0</v>
      </c>
      <c r="MQ43" s="142">
        <f t="shared" si="115"/>
        <v>54102.66</v>
      </c>
      <c r="MR43" s="12">
        <f t="shared" si="116"/>
        <v>0</v>
      </c>
      <c r="MS43" s="12">
        <f t="shared" si="116"/>
        <v>0</v>
      </c>
      <c r="MT43" s="16">
        <f t="shared" si="117"/>
        <v>0</v>
      </c>
      <c r="MU43" s="59">
        <f t="shared" si="189"/>
        <v>0</v>
      </c>
      <c r="MV43" s="621">
        <f>90000*1.1</f>
        <v>99000</v>
      </c>
      <c r="MW43" s="623">
        <v>1</v>
      </c>
      <c r="MX43" s="15"/>
      <c r="MY43" s="15"/>
      <c r="MZ43" s="15"/>
      <c r="NA43" s="15">
        <v>0.3</v>
      </c>
      <c r="NB43" s="15"/>
      <c r="NC43" s="15"/>
      <c r="ND43" s="15"/>
      <c r="NE43" s="61">
        <f t="shared" si="118"/>
        <v>0.7</v>
      </c>
      <c r="NF43" s="66">
        <f t="shared" si="119"/>
        <v>0</v>
      </c>
      <c r="NG43" s="12">
        <f t="shared" si="120"/>
        <v>0</v>
      </c>
      <c r="NH43" s="12">
        <f t="shared" si="121"/>
        <v>0</v>
      </c>
      <c r="NI43" s="142">
        <f t="shared" si="122"/>
        <v>29700</v>
      </c>
      <c r="NJ43" s="12">
        <f t="shared" si="123"/>
        <v>0</v>
      </c>
      <c r="NK43" s="12">
        <f t="shared" si="123"/>
        <v>0</v>
      </c>
      <c r="NL43" s="16">
        <f t="shared" si="124"/>
        <v>0</v>
      </c>
      <c r="NM43" s="59">
        <f t="shared" si="125"/>
        <v>69300</v>
      </c>
      <c r="NN43" s="621">
        <v>110183.12</v>
      </c>
      <c r="NO43" s="623">
        <v>1</v>
      </c>
      <c r="NP43" s="15"/>
      <c r="NQ43" s="15"/>
      <c r="NR43" s="15"/>
      <c r="NS43" s="15"/>
      <c r="NT43" s="15"/>
      <c r="NU43" s="61">
        <f t="shared" si="126"/>
        <v>1</v>
      </c>
      <c r="NV43" s="66">
        <f t="shared" si="190"/>
        <v>0</v>
      </c>
      <c r="NW43" s="12">
        <f t="shared" si="209"/>
        <v>0</v>
      </c>
      <c r="NX43" s="12">
        <f t="shared" si="210"/>
        <v>0</v>
      </c>
      <c r="NY43" s="12">
        <f t="shared" si="211"/>
        <v>0</v>
      </c>
      <c r="NZ43" s="16">
        <f t="shared" si="212"/>
        <v>0</v>
      </c>
      <c r="OA43" s="59">
        <f t="shared" si="131"/>
        <v>110183.12</v>
      </c>
      <c r="OB43" s="135">
        <v>94547.62</v>
      </c>
      <c r="OC43" s="136">
        <v>1</v>
      </c>
      <c r="OD43" s="15"/>
      <c r="OE43" s="15"/>
      <c r="OF43" s="15"/>
      <c r="OG43" s="15"/>
      <c r="OH43" s="15"/>
      <c r="OI43" s="61">
        <f t="shared" si="163"/>
        <v>1</v>
      </c>
      <c r="OJ43" s="66">
        <f t="shared" si="132"/>
        <v>0</v>
      </c>
      <c r="OK43" s="12">
        <f t="shared" si="133"/>
        <v>0</v>
      </c>
      <c r="OL43" s="12">
        <f t="shared" si="134"/>
        <v>0</v>
      </c>
      <c r="OM43" s="12">
        <f t="shared" si="135"/>
        <v>0</v>
      </c>
      <c r="ON43" s="16">
        <f t="shared" si="136"/>
        <v>0</v>
      </c>
      <c r="OO43" s="59">
        <f t="shared" si="137"/>
        <v>94547.62</v>
      </c>
      <c r="OP43" s="135">
        <v>104500</v>
      </c>
      <c r="OQ43" s="136">
        <v>1</v>
      </c>
      <c r="OR43" s="15"/>
      <c r="OS43" s="15"/>
      <c r="OT43" s="15"/>
      <c r="OU43" s="15"/>
      <c r="OV43" s="15"/>
      <c r="OW43" s="61">
        <f t="shared" si="138"/>
        <v>1</v>
      </c>
      <c r="OX43" s="66">
        <f t="shared" si="139"/>
        <v>0</v>
      </c>
      <c r="OY43" s="12">
        <f t="shared" si="140"/>
        <v>0</v>
      </c>
      <c r="OZ43" s="12">
        <f t="shared" si="141"/>
        <v>0</v>
      </c>
      <c r="PA43" s="12">
        <f t="shared" si="142"/>
        <v>0</v>
      </c>
      <c r="PB43" s="16">
        <f t="shared" si="143"/>
        <v>0</v>
      </c>
      <c r="PC43" s="59">
        <f t="shared" si="144"/>
        <v>104500</v>
      </c>
      <c r="PD43" s="135">
        <v>104500</v>
      </c>
      <c r="PE43" s="136">
        <v>1</v>
      </c>
      <c r="PF43" s="15"/>
      <c r="PG43" s="15"/>
      <c r="PH43" s="15"/>
      <c r="PI43" s="15"/>
      <c r="PJ43" s="15"/>
      <c r="PK43" s="61">
        <f t="shared" si="145"/>
        <v>1</v>
      </c>
      <c r="PL43" s="66">
        <f t="shared" si="174"/>
        <v>0</v>
      </c>
      <c r="PM43" s="12">
        <f t="shared" si="175"/>
        <v>0</v>
      </c>
      <c r="PN43" s="12">
        <f t="shared" si="176"/>
        <v>0</v>
      </c>
      <c r="PO43" s="12">
        <f t="shared" si="177"/>
        <v>0</v>
      </c>
      <c r="PP43" s="16">
        <f t="shared" si="178"/>
        <v>0</v>
      </c>
      <c r="PQ43" s="59">
        <f t="shared" si="150"/>
        <v>104500</v>
      </c>
      <c r="PS43" s="884">
        <f t="shared" si="151"/>
        <v>0</v>
      </c>
    </row>
    <row r="44" spans="2:435" x14ac:dyDescent="0.2">
      <c r="B44" s="24">
        <v>33</v>
      </c>
      <c r="C44" s="25" t="s">
        <v>28</v>
      </c>
      <c r="D44" s="26">
        <v>13500</v>
      </c>
      <c r="E44" s="42">
        <v>0.5</v>
      </c>
      <c r="F44" s="31"/>
      <c r="G44" s="12"/>
      <c r="H44" s="12"/>
      <c r="I44" s="12"/>
      <c r="J44" s="12"/>
      <c r="K44" s="12">
        <v>0.25</v>
      </c>
      <c r="L44" s="15">
        <v>0.25</v>
      </c>
      <c r="M44" s="61">
        <f t="shared" si="41"/>
        <v>0</v>
      </c>
      <c r="N44" s="31">
        <f t="shared" si="292"/>
        <v>0</v>
      </c>
      <c r="O44" s="12">
        <f t="shared" si="292"/>
        <v>0</v>
      </c>
      <c r="P44" s="12">
        <f t="shared" si="292"/>
        <v>0</v>
      </c>
      <c r="Q44" s="12">
        <f t="shared" si="292"/>
        <v>0</v>
      </c>
      <c r="R44" s="12">
        <f t="shared" si="292"/>
        <v>0</v>
      </c>
      <c r="S44" s="12">
        <f t="shared" si="292"/>
        <v>6750</v>
      </c>
      <c r="T44" s="15">
        <f t="shared" si="292"/>
        <v>6750</v>
      </c>
      <c r="U44" s="59">
        <f t="shared" si="191"/>
        <v>0</v>
      </c>
      <c r="V44" s="26">
        <v>13500</v>
      </c>
      <c r="W44" s="42">
        <v>0.5</v>
      </c>
      <c r="X44" s="31"/>
      <c r="Y44" s="12"/>
      <c r="Z44" s="12"/>
      <c r="AA44" s="12"/>
      <c r="AB44" s="12"/>
      <c r="AC44" s="12"/>
      <c r="AD44" s="15">
        <v>0.5</v>
      </c>
      <c r="AE44" s="15"/>
      <c r="AF44" s="61">
        <f t="shared" si="42"/>
        <v>0</v>
      </c>
      <c r="AG44" s="35">
        <f t="shared" si="43"/>
        <v>0</v>
      </c>
      <c r="AH44" s="35">
        <f t="shared" si="43"/>
        <v>0</v>
      </c>
      <c r="AI44" s="35">
        <f t="shared" si="43"/>
        <v>0</v>
      </c>
      <c r="AJ44" s="35">
        <f t="shared" si="43"/>
        <v>0</v>
      </c>
      <c r="AK44" s="35">
        <f t="shared" si="43"/>
        <v>0</v>
      </c>
      <c r="AL44" s="35">
        <f t="shared" si="43"/>
        <v>0</v>
      </c>
      <c r="AM44" s="35">
        <f t="shared" si="43"/>
        <v>13500</v>
      </c>
      <c r="AN44" s="35">
        <f t="shared" si="43"/>
        <v>0</v>
      </c>
      <c r="AO44" s="62">
        <f t="shared" si="44"/>
        <v>0</v>
      </c>
      <c r="AP44" s="26">
        <v>13500</v>
      </c>
      <c r="AQ44" s="42">
        <v>0.5</v>
      </c>
      <c r="AR44" s="12"/>
      <c r="AS44" s="12"/>
      <c r="AT44" s="12"/>
      <c r="AU44" s="12"/>
      <c r="AV44" s="15">
        <v>0.5</v>
      </c>
      <c r="AW44" s="15"/>
      <c r="AX44" s="61">
        <f t="shared" si="45"/>
        <v>0</v>
      </c>
      <c r="AY44" s="35">
        <f t="shared" si="273"/>
        <v>0</v>
      </c>
      <c r="AZ44" s="35">
        <f t="shared" si="273"/>
        <v>0</v>
      </c>
      <c r="BA44" s="35">
        <f t="shared" si="273"/>
        <v>0</v>
      </c>
      <c r="BB44" s="35">
        <f t="shared" si="273"/>
        <v>0</v>
      </c>
      <c r="BC44" s="35">
        <f t="shared" si="273"/>
        <v>13500</v>
      </c>
      <c r="BD44" s="34">
        <f t="shared" si="273"/>
        <v>0</v>
      </c>
      <c r="BE44" s="59">
        <f t="shared" si="46"/>
        <v>0</v>
      </c>
      <c r="BF44" s="26">
        <v>13500</v>
      </c>
      <c r="BG44" s="42">
        <v>0.5</v>
      </c>
      <c r="BH44" s="12"/>
      <c r="BI44" s="12"/>
      <c r="BJ44" s="12"/>
      <c r="BK44" s="12"/>
      <c r="BL44" s="15"/>
      <c r="BM44" s="15"/>
      <c r="BN44" s="15">
        <v>0.5</v>
      </c>
      <c r="BO44" s="61">
        <f t="shared" si="3"/>
        <v>0</v>
      </c>
      <c r="BP44" s="65">
        <f t="shared" si="274"/>
        <v>0</v>
      </c>
      <c r="BQ44" s="33">
        <f t="shared" si="274"/>
        <v>0</v>
      </c>
      <c r="BR44" s="33">
        <f t="shared" si="274"/>
        <v>0</v>
      </c>
      <c r="BS44" s="33">
        <f t="shared" si="274"/>
        <v>0</v>
      </c>
      <c r="BT44" s="33">
        <f t="shared" si="274"/>
        <v>0</v>
      </c>
      <c r="BU44" s="33">
        <f t="shared" si="274"/>
        <v>0</v>
      </c>
      <c r="BV44" s="34">
        <f t="shared" si="274"/>
        <v>13500</v>
      </c>
      <c r="BW44" s="59">
        <f t="shared" si="192"/>
        <v>0</v>
      </c>
      <c r="BX44" s="69">
        <v>13500</v>
      </c>
      <c r="BY44" s="68">
        <v>0.5</v>
      </c>
      <c r="BZ44" s="31"/>
      <c r="CA44" s="12"/>
      <c r="CB44" s="12">
        <v>0.5</v>
      </c>
      <c r="CC44" s="12"/>
      <c r="CD44" s="15"/>
      <c r="CE44" s="15"/>
      <c r="CF44" s="15"/>
      <c r="CG44" s="61">
        <f t="shared" si="5"/>
        <v>0</v>
      </c>
      <c r="CH44" s="66">
        <f t="shared" si="47"/>
        <v>0</v>
      </c>
      <c r="CI44" s="12">
        <f t="shared" si="47"/>
        <v>0</v>
      </c>
      <c r="CJ44" s="12">
        <f t="shared" si="47"/>
        <v>13500</v>
      </c>
      <c r="CK44" s="12">
        <f t="shared" si="47"/>
        <v>0</v>
      </c>
      <c r="CL44" s="12">
        <f t="shared" si="47"/>
        <v>0</v>
      </c>
      <c r="CM44" s="12">
        <f t="shared" si="47"/>
        <v>0</v>
      </c>
      <c r="CN44" s="16">
        <f t="shared" si="47"/>
        <v>0</v>
      </c>
      <c r="CO44" s="59">
        <f t="shared" si="193"/>
        <v>0</v>
      </c>
      <c r="CP44" s="69">
        <f>642.86+12857.04</f>
        <v>13499.9</v>
      </c>
      <c r="CQ44" s="68">
        <v>0.5</v>
      </c>
      <c r="CR44" s="12"/>
      <c r="CS44" s="12"/>
      <c r="CT44" s="12"/>
      <c r="CU44" s="12"/>
      <c r="CV44" s="15"/>
      <c r="CW44" s="15"/>
      <c r="CX44" s="15">
        <v>0.5</v>
      </c>
      <c r="CY44" s="61">
        <f t="shared" si="7"/>
        <v>0</v>
      </c>
      <c r="CZ44" s="66">
        <f t="shared" si="194"/>
        <v>0</v>
      </c>
      <c r="DA44" s="12">
        <f t="shared" si="194"/>
        <v>0</v>
      </c>
      <c r="DB44" s="12">
        <f t="shared" si="194"/>
        <v>0</v>
      </c>
      <c r="DC44" s="12">
        <f t="shared" si="194"/>
        <v>0</v>
      </c>
      <c r="DD44" s="12">
        <f t="shared" si="194"/>
        <v>0</v>
      </c>
      <c r="DE44" s="12">
        <f t="shared" si="194"/>
        <v>0</v>
      </c>
      <c r="DF44" s="16">
        <f t="shared" si="194"/>
        <v>13499.9</v>
      </c>
      <c r="DG44" s="59">
        <f t="shared" si="195"/>
        <v>0</v>
      </c>
      <c r="DH44" s="69">
        <v>13500</v>
      </c>
      <c r="DI44" s="68">
        <v>0.5</v>
      </c>
      <c r="DJ44" s="12"/>
      <c r="DK44" s="12"/>
      <c r="DL44" s="12"/>
      <c r="DM44" s="12"/>
      <c r="DN44" s="15"/>
      <c r="DO44" s="15"/>
      <c r="DP44" s="15">
        <v>0.5</v>
      </c>
      <c r="DQ44" s="61">
        <f t="shared" si="9"/>
        <v>0</v>
      </c>
      <c r="DR44" s="66">
        <f t="shared" si="48"/>
        <v>0</v>
      </c>
      <c r="DS44" s="12">
        <f t="shared" si="48"/>
        <v>0</v>
      </c>
      <c r="DT44" s="12">
        <f t="shared" si="48"/>
        <v>0</v>
      </c>
      <c r="DU44" s="12">
        <f t="shared" si="48"/>
        <v>0</v>
      </c>
      <c r="DV44" s="12">
        <f t="shared" si="48"/>
        <v>0</v>
      </c>
      <c r="DW44" s="12">
        <f t="shared" si="48"/>
        <v>0</v>
      </c>
      <c r="DX44" s="16">
        <f t="shared" si="48"/>
        <v>13500</v>
      </c>
      <c r="DY44" s="59">
        <f t="shared" si="196"/>
        <v>0</v>
      </c>
      <c r="DZ44" s="69">
        <v>13500</v>
      </c>
      <c r="EA44" s="68">
        <v>0.5</v>
      </c>
      <c r="EB44" s="12"/>
      <c r="EC44" s="12"/>
      <c r="ED44" s="12"/>
      <c r="EE44" s="15"/>
      <c r="EF44" s="15">
        <v>0.5</v>
      </c>
      <c r="EG44" s="15"/>
      <c r="EH44" s="61">
        <f t="shared" si="197"/>
        <v>0</v>
      </c>
      <c r="EI44" s="66">
        <f t="shared" si="275"/>
        <v>0</v>
      </c>
      <c r="EJ44" s="12">
        <f t="shared" si="275"/>
        <v>0</v>
      </c>
      <c r="EK44" s="12">
        <f t="shared" si="275"/>
        <v>0</v>
      </c>
      <c r="EL44" s="12">
        <f t="shared" si="275"/>
        <v>0</v>
      </c>
      <c r="EM44" s="12">
        <f t="shared" si="275"/>
        <v>13500</v>
      </c>
      <c r="EN44" s="16">
        <f t="shared" si="275"/>
        <v>0</v>
      </c>
      <c r="EO44" s="59">
        <f t="shared" si="198"/>
        <v>0</v>
      </c>
      <c r="EP44" s="69">
        <v>13500</v>
      </c>
      <c r="EQ44" s="68">
        <v>0.5</v>
      </c>
      <c r="ER44" s="12"/>
      <c r="ES44" s="12"/>
      <c r="ET44" s="15">
        <v>0.5</v>
      </c>
      <c r="EU44" s="15"/>
      <c r="EV44" s="61">
        <f t="shared" si="199"/>
        <v>0</v>
      </c>
      <c r="EW44" s="66">
        <f t="shared" si="49"/>
        <v>0</v>
      </c>
      <c r="EX44" s="12">
        <f t="shared" si="49"/>
        <v>0</v>
      </c>
      <c r="EY44" s="12">
        <f t="shared" si="49"/>
        <v>13500</v>
      </c>
      <c r="EZ44" s="16">
        <f t="shared" si="49"/>
        <v>0</v>
      </c>
      <c r="FA44" s="59">
        <f t="shared" si="200"/>
        <v>0</v>
      </c>
      <c r="FB44" s="69">
        <v>13500</v>
      </c>
      <c r="FC44" s="68">
        <v>0.5</v>
      </c>
      <c r="FD44" s="12"/>
      <c r="FE44" s="15"/>
      <c r="FF44" s="15">
        <v>0.5</v>
      </c>
      <c r="FG44" s="61">
        <f t="shared" si="201"/>
        <v>0</v>
      </c>
      <c r="FH44" s="66">
        <f t="shared" si="50"/>
        <v>0</v>
      </c>
      <c r="FI44" s="12">
        <f t="shared" si="50"/>
        <v>0</v>
      </c>
      <c r="FJ44" s="16">
        <f t="shared" si="50"/>
        <v>13500</v>
      </c>
      <c r="FK44" s="59">
        <f t="shared" si="202"/>
        <v>0</v>
      </c>
      <c r="FL44" s="69">
        <v>13500</v>
      </c>
      <c r="FM44" s="68">
        <v>0.5</v>
      </c>
      <c r="FN44" s="12"/>
      <c r="FO44" s="15">
        <v>0.5</v>
      </c>
      <c r="FP44" s="15"/>
      <c r="FQ44" s="15"/>
      <c r="FR44" s="15"/>
      <c r="FS44" s="61">
        <f t="shared" si="203"/>
        <v>0</v>
      </c>
      <c r="FT44" s="66">
        <f>IF($FM44&lt;&gt;0,FN44*$FL44/$FM44,0)</f>
        <v>0</v>
      </c>
      <c r="FU44" s="12">
        <f>IF($FM44&lt;&gt;0,FO44*$FL44/$FM44,0)</f>
        <v>13500</v>
      </c>
      <c r="FV44" s="12">
        <f t="shared" si="206"/>
        <v>0</v>
      </c>
      <c r="FW44" s="12">
        <f t="shared" si="207"/>
        <v>0</v>
      </c>
      <c r="FX44" s="16">
        <f t="shared" si="51"/>
        <v>0</v>
      </c>
      <c r="FY44" s="59">
        <f t="shared" si="52"/>
        <v>0</v>
      </c>
      <c r="FZ44" s="69">
        <v>13500</v>
      </c>
      <c r="GA44" s="68">
        <v>0.5</v>
      </c>
      <c r="GB44" s="12">
        <v>0.5</v>
      </c>
      <c r="GC44" s="15"/>
      <c r="GD44" s="15"/>
      <c r="GE44" s="15"/>
      <c r="GF44" s="61">
        <f t="shared" si="208"/>
        <v>0</v>
      </c>
      <c r="GG44" s="66">
        <f t="shared" si="53"/>
        <v>13500</v>
      </c>
      <c r="GH44" s="66">
        <f>IF($GA44&lt;&gt;0,GB44*$FZ44/$GA44,0)</f>
        <v>13500</v>
      </c>
      <c r="GI44" s="12">
        <f t="shared" si="289"/>
        <v>0</v>
      </c>
      <c r="GJ44" s="12">
        <f t="shared" si="179"/>
        <v>0</v>
      </c>
      <c r="GK44" s="31">
        <f t="shared" si="290"/>
        <v>0</v>
      </c>
      <c r="GL44" s="123">
        <f t="shared" si="291"/>
        <v>0</v>
      </c>
      <c r="GM44" s="410">
        <f t="shared" si="16"/>
        <v>0</v>
      </c>
      <c r="GN44" s="414">
        <v>13500</v>
      </c>
      <c r="GO44" s="68">
        <v>0.5</v>
      </c>
      <c r="GP44" s="12"/>
      <c r="GQ44" s="15">
        <v>0.5</v>
      </c>
      <c r="GR44" s="15"/>
      <c r="GS44" s="15"/>
      <c r="GT44" s="15"/>
      <c r="GU44" s="61">
        <f t="shared" si="54"/>
        <v>0</v>
      </c>
      <c r="GV44" s="66">
        <f t="shared" si="17"/>
        <v>0</v>
      </c>
      <c r="GW44" s="12">
        <f t="shared" si="18"/>
        <v>13500</v>
      </c>
      <c r="GX44" s="12">
        <f t="shared" si="19"/>
        <v>0</v>
      </c>
      <c r="GY44" s="12">
        <f t="shared" si="20"/>
        <v>0</v>
      </c>
      <c r="GZ44" s="16">
        <f t="shared" si="21"/>
        <v>0</v>
      </c>
      <c r="HA44" s="59">
        <f t="shared" si="55"/>
        <v>0</v>
      </c>
      <c r="HB44" s="69">
        <v>15000</v>
      </c>
      <c r="HC44" s="68">
        <v>0.5</v>
      </c>
      <c r="HD44" s="12"/>
      <c r="HE44" s="15">
        <v>0.5</v>
      </c>
      <c r="HF44" s="15"/>
      <c r="HG44" s="15"/>
      <c r="HH44" s="15"/>
      <c r="HI44" s="15"/>
      <c r="HJ44" s="15"/>
      <c r="HK44" s="15"/>
      <c r="HL44" s="61">
        <f t="shared" si="56"/>
        <v>0</v>
      </c>
      <c r="HM44" s="66">
        <f t="shared" si="22"/>
        <v>0</v>
      </c>
      <c r="HN44" s="12">
        <f t="shared" si="23"/>
        <v>15000</v>
      </c>
      <c r="HO44" s="12">
        <f t="shared" si="24"/>
        <v>0</v>
      </c>
      <c r="HP44" s="12">
        <f t="shared" si="25"/>
        <v>0</v>
      </c>
      <c r="HQ44" s="12">
        <f t="shared" si="26"/>
        <v>0</v>
      </c>
      <c r="HR44" s="12">
        <f t="shared" si="27"/>
        <v>0</v>
      </c>
      <c r="HS44" s="12">
        <f t="shared" si="28"/>
        <v>0</v>
      </c>
      <c r="HT44" s="16">
        <f t="shared" si="29"/>
        <v>0</v>
      </c>
      <c r="HU44" s="59">
        <f t="shared" si="57"/>
        <v>0</v>
      </c>
      <c r="HV44" s="69">
        <v>13500</v>
      </c>
      <c r="HW44" s="68">
        <v>0.5</v>
      </c>
      <c r="HX44" s="12"/>
      <c r="HY44" s="15"/>
      <c r="HZ44" s="61">
        <f t="shared" si="58"/>
        <v>0.5</v>
      </c>
      <c r="IA44" s="66">
        <f t="shared" si="59"/>
        <v>0</v>
      </c>
      <c r="IB44" s="16">
        <f t="shared" si="59"/>
        <v>0</v>
      </c>
      <c r="IC44" s="59">
        <f t="shared" si="60"/>
        <v>13500</v>
      </c>
      <c r="ID44" s="129">
        <f>714.29+13003.2</f>
        <v>13717.49</v>
      </c>
      <c r="IE44" s="68">
        <v>0.5</v>
      </c>
      <c r="IF44" s="12"/>
      <c r="IG44" s="15">
        <v>0.5</v>
      </c>
      <c r="IH44" s="15"/>
      <c r="II44" s="15"/>
      <c r="IJ44" s="15"/>
      <c r="IK44" s="15"/>
      <c r="IL44" s="15"/>
      <c r="IM44" s="15"/>
      <c r="IN44" s="15"/>
      <c r="IO44" s="61">
        <f t="shared" si="61"/>
        <v>0</v>
      </c>
      <c r="IP44" s="66">
        <f t="shared" si="62"/>
        <v>0</v>
      </c>
      <c r="IQ44" s="12">
        <f t="shared" si="63"/>
        <v>13717.49</v>
      </c>
      <c r="IR44" s="12">
        <f t="shared" si="64"/>
        <v>0</v>
      </c>
      <c r="IS44" s="12">
        <f t="shared" si="65"/>
        <v>0</v>
      </c>
      <c r="IT44" s="12">
        <f t="shared" si="66"/>
        <v>0</v>
      </c>
      <c r="IU44" s="12">
        <f t="shared" si="67"/>
        <v>0</v>
      </c>
      <c r="IV44" s="12">
        <f t="shared" si="68"/>
        <v>0</v>
      </c>
      <c r="IW44" s="15">
        <f t="shared" si="69"/>
        <v>0</v>
      </c>
      <c r="IX44" s="16">
        <f t="shared" si="69"/>
        <v>0</v>
      </c>
      <c r="IY44" s="59">
        <f t="shared" si="70"/>
        <v>0</v>
      </c>
      <c r="IZ44" s="129">
        <v>15000</v>
      </c>
      <c r="JA44" s="68">
        <v>0.5</v>
      </c>
      <c r="JB44" s="12"/>
      <c r="JC44" s="15">
        <v>0.5</v>
      </c>
      <c r="JD44" s="15"/>
      <c r="JE44" s="15"/>
      <c r="JF44" s="15"/>
      <c r="JG44" s="15"/>
      <c r="JH44" s="15"/>
      <c r="JI44" s="15"/>
      <c r="JJ44" s="15"/>
      <c r="JK44" s="61">
        <f t="shared" si="295"/>
        <v>0</v>
      </c>
      <c r="JL44" s="66">
        <f t="shared" si="72"/>
        <v>0</v>
      </c>
      <c r="JM44" s="12">
        <f t="shared" si="276"/>
        <v>15000</v>
      </c>
      <c r="JN44" s="12">
        <f t="shared" si="277"/>
        <v>0</v>
      </c>
      <c r="JO44" s="12">
        <f t="shared" si="278"/>
        <v>0</v>
      </c>
      <c r="JP44" s="12">
        <f t="shared" si="279"/>
        <v>0</v>
      </c>
      <c r="JQ44" s="12">
        <f t="shared" si="280"/>
        <v>0</v>
      </c>
      <c r="JR44" s="12">
        <f t="shared" si="281"/>
        <v>0</v>
      </c>
      <c r="JS44" s="12">
        <f t="shared" si="282"/>
        <v>0</v>
      </c>
      <c r="JT44" s="16">
        <f t="shared" si="283"/>
        <v>0</v>
      </c>
      <c r="JU44" s="59">
        <f t="shared" si="81"/>
        <v>0</v>
      </c>
      <c r="JV44" s="129">
        <v>15000</v>
      </c>
      <c r="JW44" s="68">
        <v>0.5</v>
      </c>
      <c r="JX44" s="12"/>
      <c r="JY44" s="12"/>
      <c r="JZ44" s="15"/>
      <c r="KA44" s="15"/>
      <c r="KB44" s="15"/>
      <c r="KC44" s="15"/>
      <c r="KD44" s="15"/>
      <c r="KE44" s="15">
        <v>0.5</v>
      </c>
      <c r="KF44" s="15"/>
      <c r="KG44" s="61">
        <f t="shared" si="82"/>
        <v>0</v>
      </c>
      <c r="KH44" s="146">
        <f t="shared" si="83"/>
        <v>0</v>
      </c>
      <c r="KI44" s="12">
        <f t="shared" si="83"/>
        <v>0</v>
      </c>
      <c r="KJ44" s="12">
        <f t="shared" si="84"/>
        <v>0</v>
      </c>
      <c r="KK44" s="12">
        <f t="shared" si="85"/>
        <v>0</v>
      </c>
      <c r="KL44" s="12">
        <f t="shared" si="86"/>
        <v>0</v>
      </c>
      <c r="KM44" s="12">
        <f t="shared" si="87"/>
        <v>0</v>
      </c>
      <c r="KN44" s="12">
        <f t="shared" si="88"/>
        <v>0</v>
      </c>
      <c r="KO44" s="12">
        <f t="shared" si="89"/>
        <v>15000</v>
      </c>
      <c r="KP44" s="16">
        <f t="shared" si="90"/>
        <v>0</v>
      </c>
      <c r="KQ44" s="59">
        <f t="shared" si="91"/>
        <v>0</v>
      </c>
      <c r="KR44" s="129">
        <v>15000</v>
      </c>
      <c r="KS44" s="68">
        <v>0.5</v>
      </c>
      <c r="KT44" s="12"/>
      <c r="KU44" s="15"/>
      <c r="KV44" s="15"/>
      <c r="KW44" s="15"/>
      <c r="KX44" s="15">
        <v>0.5</v>
      </c>
      <c r="KY44" s="15"/>
      <c r="KZ44" s="15"/>
      <c r="LA44" s="15"/>
      <c r="LB44" s="61">
        <f t="shared" si="92"/>
        <v>0</v>
      </c>
      <c r="LC44" s="66">
        <f t="shared" si="93"/>
        <v>0</v>
      </c>
      <c r="LD44" s="12">
        <f t="shared" si="94"/>
        <v>0</v>
      </c>
      <c r="LE44" s="12">
        <f t="shared" si="95"/>
        <v>0</v>
      </c>
      <c r="LF44" s="12">
        <f t="shared" si="96"/>
        <v>0</v>
      </c>
      <c r="LG44" s="12">
        <f t="shared" si="97"/>
        <v>15000</v>
      </c>
      <c r="LH44" s="12">
        <f t="shared" si="98"/>
        <v>0</v>
      </c>
      <c r="LI44" s="12">
        <f t="shared" si="99"/>
        <v>0</v>
      </c>
      <c r="LJ44" s="16">
        <f t="shared" si="100"/>
        <v>0</v>
      </c>
      <c r="LK44" s="59">
        <f t="shared" si="101"/>
        <v>0</v>
      </c>
      <c r="LL44" s="129">
        <v>15000</v>
      </c>
      <c r="LM44" s="68">
        <v>0.5</v>
      </c>
      <c r="LN44" s="15"/>
      <c r="LO44" s="15"/>
      <c r="LP44" s="15"/>
      <c r="LQ44" s="15">
        <v>0.5</v>
      </c>
      <c r="LR44" s="15"/>
      <c r="LS44" s="15"/>
      <c r="LT44" s="15"/>
      <c r="LU44" s="61">
        <f t="shared" si="102"/>
        <v>0</v>
      </c>
      <c r="LV44" s="66">
        <f t="shared" si="103"/>
        <v>0</v>
      </c>
      <c r="LW44" s="12">
        <f t="shared" si="104"/>
        <v>0</v>
      </c>
      <c r="LX44" s="12">
        <f t="shared" si="105"/>
        <v>0</v>
      </c>
      <c r="LY44" s="12">
        <f t="shared" si="106"/>
        <v>15000</v>
      </c>
      <c r="LZ44" s="12">
        <f t="shared" si="107"/>
        <v>0</v>
      </c>
      <c r="MA44" s="12">
        <f t="shared" si="108"/>
        <v>0</v>
      </c>
      <c r="MB44" s="16">
        <f t="shared" si="109"/>
        <v>0</v>
      </c>
      <c r="MC44" s="59">
        <f t="shared" si="110"/>
        <v>0</v>
      </c>
      <c r="MD44" s="129">
        <v>15000</v>
      </c>
      <c r="ME44" s="68">
        <v>0.5</v>
      </c>
      <c r="MF44" s="15"/>
      <c r="MG44" s="15"/>
      <c r="MH44" s="15">
        <v>0.5</v>
      </c>
      <c r="MI44" s="15"/>
      <c r="MJ44" s="15"/>
      <c r="MK44" s="15"/>
      <c r="ML44" s="15"/>
      <c r="MM44" s="61">
        <f t="shared" si="111"/>
        <v>0</v>
      </c>
      <c r="MN44" s="66">
        <f t="shared" si="112"/>
        <v>0</v>
      </c>
      <c r="MO44" s="12">
        <f t="shared" si="113"/>
        <v>0</v>
      </c>
      <c r="MP44" s="12">
        <f t="shared" si="114"/>
        <v>15000</v>
      </c>
      <c r="MQ44" s="12">
        <f t="shared" si="115"/>
        <v>0</v>
      </c>
      <c r="MR44" s="12">
        <f t="shared" si="116"/>
        <v>0</v>
      </c>
      <c r="MS44" s="12">
        <f t="shared" si="116"/>
        <v>0</v>
      </c>
      <c r="MT44" s="16">
        <f t="shared" si="117"/>
        <v>0</v>
      </c>
      <c r="MU44" s="59">
        <f t="shared" si="189"/>
        <v>0</v>
      </c>
      <c r="MV44" s="617">
        <v>15000</v>
      </c>
      <c r="MW44" s="619">
        <v>0.5</v>
      </c>
      <c r="MX44" s="15"/>
      <c r="MY44" s="15"/>
      <c r="MZ44" s="15">
        <v>0.5</v>
      </c>
      <c r="NA44" s="15"/>
      <c r="NB44" s="15"/>
      <c r="NC44" s="15"/>
      <c r="ND44" s="15"/>
      <c r="NE44" s="61">
        <f t="shared" si="118"/>
        <v>0</v>
      </c>
      <c r="NF44" s="66">
        <f t="shared" si="119"/>
        <v>0</v>
      </c>
      <c r="NG44" s="12">
        <f t="shared" si="120"/>
        <v>0</v>
      </c>
      <c r="NH44" s="12">
        <f t="shared" si="121"/>
        <v>15000</v>
      </c>
      <c r="NI44" s="12">
        <f t="shared" si="122"/>
        <v>0</v>
      </c>
      <c r="NJ44" s="12">
        <f t="shared" si="123"/>
        <v>0</v>
      </c>
      <c r="NK44" s="12">
        <f t="shared" si="123"/>
        <v>0</v>
      </c>
      <c r="NL44" s="16">
        <f t="shared" si="124"/>
        <v>0</v>
      </c>
      <c r="NM44" s="59">
        <f t="shared" si="125"/>
        <v>0</v>
      </c>
      <c r="NN44" s="617">
        <v>15000</v>
      </c>
      <c r="NO44" s="619">
        <v>0.5</v>
      </c>
      <c r="NP44" s="15"/>
      <c r="NQ44" s="15"/>
      <c r="NR44" s="15"/>
      <c r="NS44" s="15"/>
      <c r="NT44" s="15"/>
      <c r="NU44" s="61">
        <f t="shared" si="126"/>
        <v>0.5</v>
      </c>
      <c r="NV44" s="66">
        <f t="shared" si="190"/>
        <v>0</v>
      </c>
      <c r="NW44" s="12">
        <f t="shared" si="209"/>
        <v>0</v>
      </c>
      <c r="NX44" s="12">
        <f t="shared" si="210"/>
        <v>0</v>
      </c>
      <c r="NY44" s="12">
        <f t="shared" si="211"/>
        <v>0</v>
      </c>
      <c r="NZ44" s="16">
        <f t="shared" si="212"/>
        <v>0</v>
      </c>
      <c r="OA44" s="59">
        <f t="shared" si="131"/>
        <v>15000</v>
      </c>
      <c r="OB44" s="131">
        <v>15000</v>
      </c>
      <c r="OC44" s="133">
        <v>0.5</v>
      </c>
      <c r="OD44" s="15"/>
      <c r="OE44" s="15"/>
      <c r="OF44" s="15"/>
      <c r="OG44" s="15"/>
      <c r="OH44" s="15"/>
      <c r="OI44" s="61">
        <f t="shared" si="163"/>
        <v>0.5</v>
      </c>
      <c r="OJ44" s="66">
        <f t="shared" si="132"/>
        <v>0</v>
      </c>
      <c r="OK44" s="12">
        <f t="shared" si="133"/>
        <v>0</v>
      </c>
      <c r="OL44" s="12">
        <f t="shared" si="134"/>
        <v>0</v>
      </c>
      <c r="OM44" s="12">
        <f t="shared" si="135"/>
        <v>0</v>
      </c>
      <c r="ON44" s="16">
        <f t="shared" si="136"/>
        <v>0</v>
      </c>
      <c r="OO44" s="59">
        <f t="shared" si="137"/>
        <v>15000</v>
      </c>
      <c r="OP44" s="131">
        <v>15000</v>
      </c>
      <c r="OQ44" s="133">
        <v>0.5</v>
      </c>
      <c r="OR44" s="15"/>
      <c r="OS44" s="15"/>
      <c r="OT44" s="15"/>
      <c r="OU44" s="15"/>
      <c r="OV44" s="15"/>
      <c r="OW44" s="61">
        <f t="shared" si="138"/>
        <v>0.5</v>
      </c>
      <c r="OX44" s="66">
        <f t="shared" si="139"/>
        <v>0</v>
      </c>
      <c r="OY44" s="12">
        <f t="shared" si="140"/>
        <v>0</v>
      </c>
      <c r="OZ44" s="12">
        <f t="shared" si="141"/>
        <v>0</v>
      </c>
      <c r="PA44" s="12">
        <f t="shared" si="142"/>
        <v>0</v>
      </c>
      <c r="PB44" s="16">
        <f t="shared" si="143"/>
        <v>0</v>
      </c>
      <c r="PC44" s="59">
        <f t="shared" si="144"/>
        <v>15000</v>
      </c>
      <c r="PD44" s="131">
        <v>15000</v>
      </c>
      <c r="PE44" s="133">
        <v>0.5</v>
      </c>
      <c r="PF44" s="15"/>
      <c r="PG44" s="15"/>
      <c r="PH44" s="15"/>
      <c r="PI44" s="15"/>
      <c r="PJ44" s="15"/>
      <c r="PK44" s="61">
        <f t="shared" si="145"/>
        <v>0.5</v>
      </c>
      <c r="PL44" s="66">
        <f t="shared" si="174"/>
        <v>0</v>
      </c>
      <c r="PM44" s="12">
        <f t="shared" si="175"/>
        <v>0</v>
      </c>
      <c r="PN44" s="12">
        <f t="shared" si="176"/>
        <v>0</v>
      </c>
      <c r="PO44" s="12">
        <f t="shared" si="177"/>
        <v>0</v>
      </c>
      <c r="PP44" s="16">
        <f t="shared" si="178"/>
        <v>0</v>
      </c>
      <c r="PQ44" s="59">
        <f t="shared" si="150"/>
        <v>15000</v>
      </c>
      <c r="PS44" s="884">
        <f t="shared" si="151"/>
        <v>0</v>
      </c>
    </row>
    <row r="45" spans="2:435" x14ac:dyDescent="0.2">
      <c r="B45" s="24">
        <v>34</v>
      </c>
      <c r="C45" s="25" t="s">
        <v>79</v>
      </c>
      <c r="D45" s="26"/>
      <c r="E45" s="42"/>
      <c r="F45" s="31"/>
      <c r="G45" s="12"/>
      <c r="H45" s="12"/>
      <c r="I45" s="12"/>
      <c r="J45" s="12"/>
      <c r="K45" s="12"/>
      <c r="L45" s="15"/>
      <c r="M45" s="61"/>
      <c r="N45" s="31"/>
      <c r="O45" s="12"/>
      <c r="P45" s="12"/>
      <c r="Q45" s="12"/>
      <c r="R45" s="12"/>
      <c r="S45" s="12"/>
      <c r="T45" s="15"/>
      <c r="U45" s="59"/>
      <c r="V45" s="26"/>
      <c r="W45" s="42"/>
      <c r="X45" s="31"/>
      <c r="Y45" s="12"/>
      <c r="Z45" s="12"/>
      <c r="AA45" s="12"/>
      <c r="AB45" s="12"/>
      <c r="AC45" s="12"/>
      <c r="AD45" s="15"/>
      <c r="AE45" s="15"/>
      <c r="AF45" s="61"/>
      <c r="AG45" s="35"/>
      <c r="AH45" s="35"/>
      <c r="AI45" s="35"/>
      <c r="AJ45" s="35"/>
      <c r="AK45" s="35"/>
      <c r="AL45" s="35"/>
      <c r="AM45" s="35"/>
      <c r="AN45" s="35"/>
      <c r="AO45" s="62"/>
      <c r="AP45" s="26"/>
      <c r="AQ45" s="42"/>
      <c r="AR45" s="12"/>
      <c r="AS45" s="12"/>
      <c r="AT45" s="12"/>
      <c r="AU45" s="12"/>
      <c r="AV45" s="15"/>
      <c r="AW45" s="15"/>
      <c r="AX45" s="61"/>
      <c r="AY45" s="35"/>
      <c r="AZ45" s="35"/>
      <c r="BA45" s="35"/>
      <c r="BB45" s="35"/>
      <c r="BC45" s="35"/>
      <c r="BD45" s="34"/>
      <c r="BE45" s="59"/>
      <c r="BF45" s="26"/>
      <c r="BG45" s="42"/>
      <c r="BH45" s="12"/>
      <c r="BI45" s="12"/>
      <c r="BJ45" s="12"/>
      <c r="BK45" s="12"/>
      <c r="BL45" s="15"/>
      <c r="BM45" s="15"/>
      <c r="BN45" s="15"/>
      <c r="BO45" s="61"/>
      <c r="BP45" s="65"/>
      <c r="BQ45" s="33"/>
      <c r="BR45" s="33"/>
      <c r="BS45" s="33"/>
      <c r="BT45" s="33"/>
      <c r="BU45" s="33"/>
      <c r="BV45" s="34"/>
      <c r="BW45" s="59"/>
      <c r="BX45" s="69"/>
      <c r="BY45" s="68"/>
      <c r="BZ45" s="31"/>
      <c r="CA45" s="12"/>
      <c r="CB45" s="12"/>
      <c r="CC45" s="12"/>
      <c r="CD45" s="15"/>
      <c r="CE45" s="15"/>
      <c r="CF45" s="15"/>
      <c r="CG45" s="61"/>
      <c r="CH45" s="66"/>
      <c r="CI45" s="12"/>
      <c r="CJ45" s="12"/>
      <c r="CK45" s="12"/>
      <c r="CL45" s="12"/>
      <c r="CM45" s="12"/>
      <c r="CN45" s="16"/>
      <c r="CO45" s="59"/>
      <c r="CP45" s="69"/>
      <c r="CQ45" s="68"/>
      <c r="CR45" s="12"/>
      <c r="CS45" s="12"/>
      <c r="CT45" s="12"/>
      <c r="CU45" s="12"/>
      <c r="CV45" s="15"/>
      <c r="CW45" s="15"/>
      <c r="CX45" s="15"/>
      <c r="CY45" s="61"/>
      <c r="CZ45" s="66"/>
      <c r="DA45" s="12"/>
      <c r="DB45" s="12"/>
      <c r="DC45" s="12"/>
      <c r="DD45" s="12"/>
      <c r="DE45" s="12"/>
      <c r="DF45" s="16"/>
      <c r="DG45" s="59"/>
      <c r="DH45" s="69"/>
      <c r="DI45" s="68"/>
      <c r="DJ45" s="12"/>
      <c r="DK45" s="12"/>
      <c r="DL45" s="12"/>
      <c r="DM45" s="12"/>
      <c r="DN45" s="15"/>
      <c r="DO45" s="15"/>
      <c r="DP45" s="15"/>
      <c r="DQ45" s="61"/>
      <c r="DR45" s="66"/>
      <c r="DS45" s="12"/>
      <c r="DT45" s="12"/>
      <c r="DU45" s="12"/>
      <c r="DV45" s="12"/>
      <c r="DW45" s="12"/>
      <c r="DX45" s="16"/>
      <c r="DY45" s="59"/>
      <c r="DZ45" s="69"/>
      <c r="EA45" s="68"/>
      <c r="EB45" s="12"/>
      <c r="EC45" s="12"/>
      <c r="ED45" s="12"/>
      <c r="EE45" s="15"/>
      <c r="EF45" s="15"/>
      <c r="EG45" s="15"/>
      <c r="EH45" s="61"/>
      <c r="EI45" s="66"/>
      <c r="EJ45" s="12"/>
      <c r="EK45" s="12"/>
      <c r="EL45" s="12"/>
      <c r="EM45" s="12"/>
      <c r="EN45" s="16"/>
      <c r="EO45" s="59"/>
      <c r="EP45" s="69"/>
      <c r="EQ45" s="68"/>
      <c r="ER45" s="12"/>
      <c r="ES45" s="12"/>
      <c r="ET45" s="15"/>
      <c r="EU45" s="15"/>
      <c r="EV45" s="61"/>
      <c r="EW45" s="66"/>
      <c r="EX45" s="12"/>
      <c r="EY45" s="12"/>
      <c r="EZ45" s="16"/>
      <c r="FA45" s="59"/>
      <c r="FB45" s="69"/>
      <c r="FC45" s="68"/>
      <c r="FD45" s="12"/>
      <c r="FE45" s="15"/>
      <c r="FF45" s="15"/>
      <c r="FG45" s="61"/>
      <c r="FH45" s="66"/>
      <c r="FI45" s="12"/>
      <c r="FJ45" s="16"/>
      <c r="FK45" s="59"/>
      <c r="FL45" s="69"/>
      <c r="FM45" s="68"/>
      <c r="FN45" s="12"/>
      <c r="FO45" s="15"/>
      <c r="FP45" s="15"/>
      <c r="FQ45" s="15"/>
      <c r="FR45" s="15"/>
      <c r="FS45" s="61">
        <f t="shared" si="203"/>
        <v>0</v>
      </c>
      <c r="FT45" s="66"/>
      <c r="FU45" s="12"/>
      <c r="FV45" s="12">
        <f t="shared" si="206"/>
        <v>0</v>
      </c>
      <c r="FW45" s="12">
        <f t="shared" si="207"/>
        <v>0</v>
      </c>
      <c r="FX45" s="16"/>
      <c r="FY45" s="59">
        <f t="shared" si="52"/>
        <v>0</v>
      </c>
      <c r="FZ45" s="69">
        <f>10227.27+1023</f>
        <v>11250.27</v>
      </c>
      <c r="GA45" s="68">
        <f>(25/30)/2</f>
        <v>0.42</v>
      </c>
      <c r="GB45" s="12"/>
      <c r="GC45" s="15">
        <v>0.4</v>
      </c>
      <c r="GD45" s="15"/>
      <c r="GE45" s="15"/>
      <c r="GF45" s="61">
        <f t="shared" si="208"/>
        <v>0.02</v>
      </c>
      <c r="GG45" s="66">
        <f t="shared" si="53"/>
        <v>0</v>
      </c>
      <c r="GH45" s="66">
        <f>IF($GA45&lt;&gt;0,GB45*$FZ45/$GA45,0)</f>
        <v>0</v>
      </c>
      <c r="GI45" s="12">
        <f t="shared" si="289"/>
        <v>10714.54</v>
      </c>
      <c r="GJ45" s="12">
        <f t="shared" si="179"/>
        <v>10714.54</v>
      </c>
      <c r="GK45" s="31">
        <f t="shared" si="290"/>
        <v>0</v>
      </c>
      <c r="GL45" s="123">
        <f t="shared" si="291"/>
        <v>0</v>
      </c>
      <c r="GM45" s="410">
        <f t="shared" si="16"/>
        <v>535.73</v>
      </c>
      <c r="GN45" s="414">
        <f>22000</f>
        <v>22000</v>
      </c>
      <c r="GO45" s="68">
        <v>0.5</v>
      </c>
      <c r="GP45" s="12"/>
      <c r="GQ45" s="15">
        <v>0.5</v>
      </c>
      <c r="GR45" s="15"/>
      <c r="GS45" s="15"/>
      <c r="GT45" s="15"/>
      <c r="GU45" s="61">
        <f t="shared" si="54"/>
        <v>0</v>
      </c>
      <c r="GV45" s="66">
        <f t="shared" si="17"/>
        <v>0</v>
      </c>
      <c r="GW45" s="12">
        <f t="shared" si="18"/>
        <v>22000</v>
      </c>
      <c r="GX45" s="12">
        <f t="shared" si="19"/>
        <v>0</v>
      </c>
      <c r="GY45" s="12">
        <f t="shared" si="20"/>
        <v>0</v>
      </c>
      <c r="GZ45" s="16">
        <f t="shared" si="21"/>
        <v>0</v>
      </c>
      <c r="HA45" s="59">
        <f t="shared" si="55"/>
        <v>0</v>
      </c>
      <c r="HB45" s="69">
        <v>33000</v>
      </c>
      <c r="HC45" s="68">
        <v>0.5</v>
      </c>
      <c r="HD45" s="12"/>
      <c r="HE45" s="15">
        <v>0.5</v>
      </c>
      <c r="HF45" s="15"/>
      <c r="HG45" s="15"/>
      <c r="HH45" s="15"/>
      <c r="HI45" s="15"/>
      <c r="HJ45" s="15"/>
      <c r="HK45" s="15"/>
      <c r="HL45" s="61">
        <f t="shared" si="56"/>
        <v>0</v>
      </c>
      <c r="HM45" s="66">
        <f t="shared" si="22"/>
        <v>0</v>
      </c>
      <c r="HN45" s="12">
        <f t="shared" si="23"/>
        <v>33000</v>
      </c>
      <c r="HO45" s="12">
        <f t="shared" si="24"/>
        <v>0</v>
      </c>
      <c r="HP45" s="12">
        <f t="shared" si="25"/>
        <v>0</v>
      </c>
      <c r="HQ45" s="12">
        <f t="shared" si="26"/>
        <v>0</v>
      </c>
      <c r="HR45" s="12">
        <f t="shared" si="27"/>
        <v>0</v>
      </c>
      <c r="HS45" s="12">
        <f t="shared" si="28"/>
        <v>0</v>
      </c>
      <c r="HT45" s="16">
        <f t="shared" si="29"/>
        <v>0</v>
      </c>
      <c r="HU45" s="59">
        <f t="shared" si="57"/>
        <v>0</v>
      </c>
      <c r="HV45" s="69">
        <f>22000</f>
        <v>22000</v>
      </c>
      <c r="HW45" s="68">
        <v>0.5</v>
      </c>
      <c r="HX45" s="12"/>
      <c r="HY45" s="15"/>
      <c r="HZ45" s="61">
        <f t="shared" si="58"/>
        <v>0.5</v>
      </c>
      <c r="IA45" s="66">
        <f t="shared" si="59"/>
        <v>0</v>
      </c>
      <c r="IB45" s="16">
        <f t="shared" si="59"/>
        <v>0</v>
      </c>
      <c r="IC45" s="59">
        <f t="shared" si="60"/>
        <v>22000</v>
      </c>
      <c r="ID45" s="69">
        <v>33000</v>
      </c>
      <c r="IE45" s="68">
        <v>0.5</v>
      </c>
      <c r="IF45" s="12"/>
      <c r="IG45" s="15">
        <v>0.5</v>
      </c>
      <c r="IH45" s="15"/>
      <c r="II45" s="15"/>
      <c r="IJ45" s="15"/>
      <c r="IK45" s="15"/>
      <c r="IL45" s="15"/>
      <c r="IM45" s="15"/>
      <c r="IN45" s="15"/>
      <c r="IO45" s="61">
        <f t="shared" si="61"/>
        <v>0</v>
      </c>
      <c r="IP45" s="66">
        <f t="shared" si="62"/>
        <v>0</v>
      </c>
      <c r="IQ45" s="12">
        <f t="shared" si="63"/>
        <v>33000</v>
      </c>
      <c r="IR45" s="12">
        <f t="shared" si="64"/>
        <v>0</v>
      </c>
      <c r="IS45" s="12">
        <f t="shared" si="65"/>
        <v>0</v>
      </c>
      <c r="IT45" s="12">
        <f t="shared" si="66"/>
        <v>0</v>
      </c>
      <c r="IU45" s="12">
        <f t="shared" si="67"/>
        <v>0</v>
      </c>
      <c r="IV45" s="12">
        <f t="shared" si="68"/>
        <v>0</v>
      </c>
      <c r="IW45" s="15">
        <f t="shared" si="69"/>
        <v>0</v>
      </c>
      <c r="IX45" s="16">
        <f t="shared" si="69"/>
        <v>0</v>
      </c>
      <c r="IY45" s="59">
        <f t="shared" si="70"/>
        <v>0</v>
      </c>
      <c r="IZ45" s="69">
        <f>25142.85+6163.43</f>
        <v>31306.28</v>
      </c>
      <c r="JA45" s="68">
        <v>0.5</v>
      </c>
      <c r="JB45" s="12"/>
      <c r="JC45" s="15">
        <v>0.5</v>
      </c>
      <c r="JD45" s="15"/>
      <c r="JE45" s="15"/>
      <c r="JF45" s="15"/>
      <c r="JG45" s="15"/>
      <c r="JH45" s="15"/>
      <c r="JI45" s="15"/>
      <c r="JJ45" s="15"/>
      <c r="JK45" s="61">
        <f t="shared" si="295"/>
        <v>0</v>
      </c>
      <c r="JL45" s="66">
        <f t="shared" si="72"/>
        <v>0</v>
      </c>
      <c r="JM45" s="12">
        <f t="shared" si="276"/>
        <v>31306.28</v>
      </c>
      <c r="JN45" s="12">
        <f t="shared" si="277"/>
        <v>0</v>
      </c>
      <c r="JO45" s="12">
        <f t="shared" si="278"/>
        <v>0</v>
      </c>
      <c r="JP45" s="12">
        <f t="shared" si="279"/>
        <v>0</v>
      </c>
      <c r="JQ45" s="12">
        <f t="shared" si="280"/>
        <v>0</v>
      </c>
      <c r="JR45" s="12">
        <f t="shared" si="281"/>
        <v>0</v>
      </c>
      <c r="JS45" s="12">
        <f t="shared" si="282"/>
        <v>0</v>
      </c>
      <c r="JT45" s="16">
        <f t="shared" si="283"/>
        <v>0</v>
      </c>
      <c r="JU45" s="59">
        <f t="shared" si="81"/>
        <v>0</v>
      </c>
      <c r="JV45" s="69">
        <v>33000</v>
      </c>
      <c r="JW45" s="68">
        <v>0.5</v>
      </c>
      <c r="JX45" s="12"/>
      <c r="JY45" s="12"/>
      <c r="JZ45" s="15"/>
      <c r="KA45" s="15"/>
      <c r="KB45" s="15">
        <v>0.25</v>
      </c>
      <c r="KC45" s="15">
        <v>0.25</v>
      </c>
      <c r="KD45" s="15"/>
      <c r="KE45" s="15"/>
      <c r="KF45" s="15"/>
      <c r="KG45" s="61">
        <f t="shared" si="82"/>
        <v>0</v>
      </c>
      <c r="KH45" s="146">
        <f t="shared" si="83"/>
        <v>0</v>
      </c>
      <c r="KI45" s="12">
        <f t="shared" si="83"/>
        <v>0</v>
      </c>
      <c r="KJ45" s="12">
        <f t="shared" si="84"/>
        <v>0</v>
      </c>
      <c r="KK45" s="12">
        <f t="shared" si="85"/>
        <v>0</v>
      </c>
      <c r="KL45" s="12">
        <f t="shared" si="86"/>
        <v>16500</v>
      </c>
      <c r="KM45" s="12">
        <f t="shared" si="87"/>
        <v>16500</v>
      </c>
      <c r="KN45" s="12">
        <f t="shared" si="88"/>
        <v>0</v>
      </c>
      <c r="KO45" s="12">
        <f t="shared" si="89"/>
        <v>0</v>
      </c>
      <c r="KP45" s="16">
        <f t="shared" si="90"/>
        <v>0</v>
      </c>
      <c r="KQ45" s="59">
        <f t="shared" si="91"/>
        <v>0</v>
      </c>
      <c r="KR45" s="69">
        <v>33000</v>
      </c>
      <c r="KS45" s="68">
        <v>0.5</v>
      </c>
      <c r="KT45" s="12"/>
      <c r="KU45" s="15"/>
      <c r="KV45" s="15"/>
      <c r="KW45" s="15">
        <v>0.25</v>
      </c>
      <c r="KX45" s="15">
        <v>0.25</v>
      </c>
      <c r="KY45" s="15"/>
      <c r="KZ45" s="15"/>
      <c r="LA45" s="15"/>
      <c r="LB45" s="61">
        <f t="shared" si="92"/>
        <v>0</v>
      </c>
      <c r="LC45" s="66">
        <f t="shared" si="93"/>
        <v>0</v>
      </c>
      <c r="LD45" s="12">
        <f t="shared" si="94"/>
        <v>0</v>
      </c>
      <c r="LE45" s="12">
        <f t="shared" si="95"/>
        <v>0</v>
      </c>
      <c r="LF45" s="12">
        <f t="shared" si="96"/>
        <v>16500</v>
      </c>
      <c r="LG45" s="12">
        <f t="shared" si="97"/>
        <v>16500</v>
      </c>
      <c r="LH45" s="12">
        <f t="shared" si="98"/>
        <v>0</v>
      </c>
      <c r="LI45" s="12">
        <f t="shared" si="99"/>
        <v>0</v>
      </c>
      <c r="LJ45" s="16">
        <f t="shared" si="100"/>
        <v>0</v>
      </c>
      <c r="LK45" s="59">
        <f t="shared" si="101"/>
        <v>0</v>
      </c>
      <c r="LL45" s="69">
        <v>33000</v>
      </c>
      <c r="LM45" s="68">
        <v>0.5</v>
      </c>
      <c r="LN45" s="15"/>
      <c r="LO45" s="15"/>
      <c r="LP45" s="15">
        <v>0.25</v>
      </c>
      <c r="LQ45" s="15">
        <v>0.25</v>
      </c>
      <c r="LR45" s="15"/>
      <c r="LS45" s="15"/>
      <c r="LT45" s="15"/>
      <c r="LU45" s="61">
        <f t="shared" si="102"/>
        <v>0</v>
      </c>
      <c r="LV45" s="66">
        <f t="shared" si="103"/>
        <v>0</v>
      </c>
      <c r="LW45" s="12">
        <f t="shared" si="104"/>
        <v>0</v>
      </c>
      <c r="LX45" s="12">
        <f t="shared" si="105"/>
        <v>16500</v>
      </c>
      <c r="LY45" s="12">
        <f t="shared" si="106"/>
        <v>16500</v>
      </c>
      <c r="LZ45" s="12">
        <f t="shared" si="107"/>
        <v>0</v>
      </c>
      <c r="MA45" s="12">
        <f t="shared" si="108"/>
        <v>0</v>
      </c>
      <c r="MB45" s="16">
        <f t="shared" si="109"/>
        <v>0</v>
      </c>
      <c r="MC45" s="59">
        <f t="shared" si="110"/>
        <v>0</v>
      </c>
      <c r="MD45" s="69">
        <v>33000</v>
      </c>
      <c r="ME45" s="68">
        <v>0.5</v>
      </c>
      <c r="MF45" s="15"/>
      <c r="MG45" s="15">
        <v>0.25</v>
      </c>
      <c r="MH45" s="15">
        <v>0.25</v>
      </c>
      <c r="MI45" s="15"/>
      <c r="MJ45" s="15"/>
      <c r="MK45" s="15"/>
      <c r="ML45" s="15"/>
      <c r="MM45" s="61">
        <f t="shared" si="111"/>
        <v>0</v>
      </c>
      <c r="MN45" s="66">
        <f t="shared" si="112"/>
        <v>0</v>
      </c>
      <c r="MO45" s="12">
        <f t="shared" si="113"/>
        <v>16500</v>
      </c>
      <c r="MP45" s="12">
        <f t="shared" si="114"/>
        <v>16500</v>
      </c>
      <c r="MQ45" s="12">
        <f t="shared" si="115"/>
        <v>0</v>
      </c>
      <c r="MR45" s="12">
        <f t="shared" si="116"/>
        <v>0</v>
      </c>
      <c r="MS45" s="12">
        <f t="shared" si="116"/>
        <v>0</v>
      </c>
      <c r="MT45" s="16">
        <f t="shared" si="117"/>
        <v>0</v>
      </c>
      <c r="MU45" s="59">
        <f t="shared" si="189"/>
        <v>0</v>
      </c>
      <c r="MV45" s="620">
        <v>33000</v>
      </c>
      <c r="MW45" s="619">
        <v>0.5</v>
      </c>
      <c r="MX45" s="15"/>
      <c r="MY45" s="15">
        <v>0.25</v>
      </c>
      <c r="MZ45" s="15">
        <v>0.25</v>
      </c>
      <c r="NA45" s="15"/>
      <c r="NB45" s="15"/>
      <c r="NC45" s="15"/>
      <c r="ND45" s="15"/>
      <c r="NE45" s="61">
        <f t="shared" si="118"/>
        <v>0</v>
      </c>
      <c r="NF45" s="66">
        <f t="shared" si="119"/>
        <v>0</v>
      </c>
      <c r="NG45" s="12">
        <f t="shared" si="120"/>
        <v>16500</v>
      </c>
      <c r="NH45" s="12">
        <f t="shared" si="121"/>
        <v>16500</v>
      </c>
      <c r="NI45" s="12">
        <f t="shared" si="122"/>
        <v>0</v>
      </c>
      <c r="NJ45" s="12">
        <f t="shared" si="123"/>
        <v>0</v>
      </c>
      <c r="NK45" s="12">
        <f t="shared" si="123"/>
        <v>0</v>
      </c>
      <c r="NL45" s="16">
        <f t="shared" si="124"/>
        <v>0</v>
      </c>
      <c r="NM45" s="59">
        <f t="shared" si="125"/>
        <v>0</v>
      </c>
      <c r="NN45" s="620">
        <v>32629.439999999999</v>
      </c>
      <c r="NO45" s="619">
        <v>0.5</v>
      </c>
      <c r="NP45" s="15"/>
      <c r="NQ45" s="15">
        <v>0.5</v>
      </c>
      <c r="NR45" s="15"/>
      <c r="NS45" s="15"/>
      <c r="NT45" s="15"/>
      <c r="NU45" s="61">
        <f t="shared" si="126"/>
        <v>0</v>
      </c>
      <c r="NV45" s="66">
        <f t="shared" si="190"/>
        <v>0</v>
      </c>
      <c r="NW45" s="12">
        <f t="shared" si="209"/>
        <v>32629.439999999999</v>
      </c>
      <c r="NX45" s="12">
        <f t="shared" si="210"/>
        <v>0</v>
      </c>
      <c r="NY45" s="12">
        <f t="shared" si="211"/>
        <v>0</v>
      </c>
      <c r="NZ45" s="16">
        <f t="shared" si="212"/>
        <v>0</v>
      </c>
      <c r="OA45" s="59">
        <f t="shared" si="131"/>
        <v>0</v>
      </c>
      <c r="OB45" s="134">
        <v>33000</v>
      </c>
      <c r="OC45" s="133">
        <v>0.5</v>
      </c>
      <c r="OD45" s="15"/>
      <c r="OE45" s="15">
        <v>0.5</v>
      </c>
      <c r="OF45" s="15"/>
      <c r="OG45" s="15"/>
      <c r="OH45" s="15"/>
      <c r="OI45" s="61">
        <f t="shared" si="163"/>
        <v>0</v>
      </c>
      <c r="OJ45" s="66">
        <f t="shared" si="132"/>
        <v>0</v>
      </c>
      <c r="OK45" s="12">
        <f t="shared" si="133"/>
        <v>33000</v>
      </c>
      <c r="OL45" s="12">
        <f t="shared" si="134"/>
        <v>0</v>
      </c>
      <c r="OM45" s="12">
        <f t="shared" si="135"/>
        <v>0</v>
      </c>
      <c r="ON45" s="16">
        <f t="shared" si="136"/>
        <v>0</v>
      </c>
      <c r="OO45" s="59">
        <f t="shared" si="137"/>
        <v>0</v>
      </c>
      <c r="OP45" s="134">
        <v>33000</v>
      </c>
      <c r="OQ45" s="133">
        <v>0.5</v>
      </c>
      <c r="OR45" s="15"/>
      <c r="OS45" s="15">
        <v>0.25</v>
      </c>
      <c r="OT45" s="15"/>
      <c r="OU45" s="15"/>
      <c r="OV45" s="15"/>
      <c r="OW45" s="61">
        <f t="shared" si="138"/>
        <v>0.25</v>
      </c>
      <c r="OX45" s="66">
        <f t="shared" si="139"/>
        <v>0</v>
      </c>
      <c r="OY45" s="12">
        <f t="shared" si="140"/>
        <v>16500</v>
      </c>
      <c r="OZ45" s="12">
        <f t="shared" si="141"/>
        <v>0</v>
      </c>
      <c r="PA45" s="12">
        <f t="shared" si="142"/>
        <v>0</v>
      </c>
      <c r="PB45" s="16">
        <f t="shared" si="143"/>
        <v>0</v>
      </c>
      <c r="PC45" s="59">
        <f t="shared" si="144"/>
        <v>16500</v>
      </c>
      <c r="PD45" s="134">
        <v>33000</v>
      </c>
      <c r="PE45" s="133">
        <v>0.5</v>
      </c>
      <c r="PF45" s="15"/>
      <c r="PG45" s="15"/>
      <c r="PH45" s="15"/>
      <c r="PI45" s="15"/>
      <c r="PJ45" s="15"/>
      <c r="PK45" s="61">
        <f t="shared" si="145"/>
        <v>0.5</v>
      </c>
      <c r="PL45" s="66">
        <f t="shared" si="174"/>
        <v>0</v>
      </c>
      <c r="PM45" s="12">
        <f t="shared" si="175"/>
        <v>0</v>
      </c>
      <c r="PN45" s="12">
        <f t="shared" si="176"/>
        <v>0</v>
      </c>
      <c r="PO45" s="12">
        <f t="shared" si="177"/>
        <v>0</v>
      </c>
      <c r="PP45" s="16">
        <f t="shared" si="178"/>
        <v>0</v>
      </c>
      <c r="PQ45" s="59">
        <f t="shared" si="150"/>
        <v>33000</v>
      </c>
      <c r="PS45" s="884">
        <f t="shared" si="151"/>
        <v>0</v>
      </c>
    </row>
    <row r="46" spans="2:435" x14ac:dyDescent="0.2">
      <c r="B46" s="24">
        <v>35</v>
      </c>
      <c r="C46" s="25" t="s">
        <v>16</v>
      </c>
      <c r="D46" s="26">
        <v>35000</v>
      </c>
      <c r="E46" s="42">
        <v>1</v>
      </c>
      <c r="F46" s="31">
        <v>1</v>
      </c>
      <c r="G46" s="12"/>
      <c r="H46" s="12"/>
      <c r="I46" s="12"/>
      <c r="J46" s="12"/>
      <c r="K46" s="12"/>
      <c r="L46" s="15"/>
      <c r="M46" s="61">
        <f t="shared" si="41"/>
        <v>0</v>
      </c>
      <c r="N46" s="31">
        <f t="shared" si="292"/>
        <v>35000</v>
      </c>
      <c r="O46" s="12">
        <f t="shared" si="292"/>
        <v>0</v>
      </c>
      <c r="P46" s="12">
        <f t="shared" si="292"/>
        <v>0</v>
      </c>
      <c r="Q46" s="12">
        <f t="shared" si="292"/>
        <v>0</v>
      </c>
      <c r="R46" s="12">
        <f t="shared" si="292"/>
        <v>0</v>
      </c>
      <c r="S46" s="12">
        <f t="shared" si="292"/>
        <v>0</v>
      </c>
      <c r="T46" s="15">
        <f t="shared" si="292"/>
        <v>0</v>
      </c>
      <c r="U46" s="59">
        <f t="shared" si="191"/>
        <v>0</v>
      </c>
      <c r="V46" s="26">
        <v>35000</v>
      </c>
      <c r="W46" s="42">
        <v>1</v>
      </c>
      <c r="X46" s="31"/>
      <c r="Y46" s="12"/>
      <c r="Z46" s="12"/>
      <c r="AA46" s="12"/>
      <c r="AB46" s="12"/>
      <c r="AC46" s="12"/>
      <c r="AD46" s="15">
        <v>1</v>
      </c>
      <c r="AE46" s="15"/>
      <c r="AF46" s="61">
        <f t="shared" si="42"/>
        <v>0</v>
      </c>
      <c r="AG46" s="35">
        <f t="shared" si="43"/>
        <v>0</v>
      </c>
      <c r="AH46" s="35">
        <f t="shared" si="43"/>
        <v>0</v>
      </c>
      <c r="AI46" s="35">
        <f t="shared" si="43"/>
        <v>0</v>
      </c>
      <c r="AJ46" s="35">
        <f t="shared" si="43"/>
        <v>0</v>
      </c>
      <c r="AK46" s="35">
        <f t="shared" si="43"/>
        <v>0</v>
      </c>
      <c r="AL46" s="35">
        <f t="shared" si="43"/>
        <v>0</v>
      </c>
      <c r="AM46" s="35">
        <f t="shared" si="43"/>
        <v>35000</v>
      </c>
      <c r="AN46" s="35">
        <f t="shared" si="43"/>
        <v>0</v>
      </c>
      <c r="AO46" s="62">
        <f t="shared" si="44"/>
        <v>0</v>
      </c>
      <c r="AP46" s="26">
        <v>35000</v>
      </c>
      <c r="AQ46" s="42">
        <v>1</v>
      </c>
      <c r="AR46" s="12"/>
      <c r="AS46" s="12"/>
      <c r="AT46" s="12"/>
      <c r="AU46" s="12"/>
      <c r="AV46" s="15"/>
      <c r="AW46" s="15">
        <v>1</v>
      </c>
      <c r="AX46" s="61">
        <f t="shared" si="45"/>
        <v>0</v>
      </c>
      <c r="AY46" s="35">
        <f t="shared" si="273"/>
        <v>0</v>
      </c>
      <c r="AZ46" s="35">
        <f t="shared" si="273"/>
        <v>0</v>
      </c>
      <c r="BA46" s="35">
        <f t="shared" si="273"/>
        <v>0</v>
      </c>
      <c r="BB46" s="35">
        <f t="shared" si="273"/>
        <v>0</v>
      </c>
      <c r="BC46" s="35">
        <f t="shared" si="273"/>
        <v>0</v>
      </c>
      <c r="BD46" s="34">
        <f t="shared" si="273"/>
        <v>35000</v>
      </c>
      <c r="BE46" s="59">
        <f t="shared" si="46"/>
        <v>0</v>
      </c>
      <c r="BF46" s="26">
        <v>33072.559999999998</v>
      </c>
      <c r="BG46" s="42">
        <v>1</v>
      </c>
      <c r="BH46" s="12"/>
      <c r="BI46" s="12"/>
      <c r="BJ46" s="12"/>
      <c r="BK46" s="12"/>
      <c r="BL46" s="15"/>
      <c r="BM46" s="15">
        <v>1</v>
      </c>
      <c r="BN46" s="15"/>
      <c r="BO46" s="61">
        <f t="shared" si="3"/>
        <v>0</v>
      </c>
      <c r="BP46" s="65">
        <f t="shared" si="274"/>
        <v>0</v>
      </c>
      <c r="BQ46" s="33">
        <f t="shared" si="274"/>
        <v>0</v>
      </c>
      <c r="BR46" s="33">
        <f t="shared" si="274"/>
        <v>0</v>
      </c>
      <c r="BS46" s="33">
        <f t="shared" si="274"/>
        <v>0</v>
      </c>
      <c r="BT46" s="33">
        <f t="shared" si="274"/>
        <v>0</v>
      </c>
      <c r="BU46" s="33">
        <f t="shared" si="274"/>
        <v>33072.559999999998</v>
      </c>
      <c r="BV46" s="34">
        <f t="shared" si="274"/>
        <v>0</v>
      </c>
      <c r="BW46" s="59">
        <f t="shared" si="192"/>
        <v>0</v>
      </c>
      <c r="BX46" s="69">
        <v>35000</v>
      </c>
      <c r="BY46" s="68">
        <v>1</v>
      </c>
      <c r="BZ46" s="31"/>
      <c r="CA46" s="12"/>
      <c r="CB46" s="12"/>
      <c r="CC46" s="12"/>
      <c r="CD46" s="15"/>
      <c r="CE46" s="15">
        <v>1</v>
      </c>
      <c r="CF46" s="15"/>
      <c r="CG46" s="61">
        <f t="shared" si="5"/>
        <v>0</v>
      </c>
      <c r="CH46" s="66">
        <f t="shared" si="47"/>
        <v>0</v>
      </c>
      <c r="CI46" s="12">
        <f t="shared" si="47"/>
        <v>0</v>
      </c>
      <c r="CJ46" s="12">
        <f t="shared" si="47"/>
        <v>0</v>
      </c>
      <c r="CK46" s="12">
        <f t="shared" si="47"/>
        <v>0</v>
      </c>
      <c r="CL46" s="12">
        <f t="shared" si="47"/>
        <v>0</v>
      </c>
      <c r="CM46" s="12">
        <f t="shared" si="47"/>
        <v>35000</v>
      </c>
      <c r="CN46" s="16">
        <f t="shared" si="47"/>
        <v>0</v>
      </c>
      <c r="CO46" s="59">
        <f t="shared" si="193"/>
        <v>0</v>
      </c>
      <c r="CP46" s="69">
        <v>35000</v>
      </c>
      <c r="CQ46" s="68">
        <v>1</v>
      </c>
      <c r="CR46" s="12"/>
      <c r="CS46" s="12"/>
      <c r="CT46" s="12"/>
      <c r="CU46" s="12"/>
      <c r="CV46" s="15"/>
      <c r="CW46" s="15">
        <v>1</v>
      </c>
      <c r="CX46" s="15"/>
      <c r="CY46" s="61">
        <f t="shared" si="7"/>
        <v>0</v>
      </c>
      <c r="CZ46" s="66">
        <f t="shared" si="194"/>
        <v>0</v>
      </c>
      <c r="DA46" s="12">
        <f t="shared" si="194"/>
        <v>0</v>
      </c>
      <c r="DB46" s="12">
        <f t="shared" si="194"/>
        <v>0</v>
      </c>
      <c r="DC46" s="12">
        <f t="shared" si="194"/>
        <v>0</v>
      </c>
      <c r="DD46" s="12">
        <f t="shared" si="194"/>
        <v>0</v>
      </c>
      <c r="DE46" s="12">
        <f t="shared" si="194"/>
        <v>35000</v>
      </c>
      <c r="DF46" s="16">
        <f t="shared" si="194"/>
        <v>0</v>
      </c>
      <c r="DG46" s="59">
        <f t="shared" si="195"/>
        <v>0</v>
      </c>
      <c r="DH46" s="69">
        <f>6666.67+26814.75</f>
        <v>33481.42</v>
      </c>
      <c r="DI46" s="68">
        <v>1</v>
      </c>
      <c r="DJ46" s="12"/>
      <c r="DK46" s="12"/>
      <c r="DL46" s="12"/>
      <c r="DM46" s="12"/>
      <c r="DN46" s="15"/>
      <c r="DO46" s="15">
        <v>1</v>
      </c>
      <c r="DP46" s="15"/>
      <c r="DQ46" s="61">
        <f t="shared" si="9"/>
        <v>0</v>
      </c>
      <c r="DR46" s="66">
        <f t="shared" si="48"/>
        <v>0</v>
      </c>
      <c r="DS46" s="12">
        <f t="shared" si="48"/>
        <v>0</v>
      </c>
      <c r="DT46" s="12">
        <f t="shared" si="48"/>
        <v>0</v>
      </c>
      <c r="DU46" s="12">
        <f t="shared" si="48"/>
        <v>0</v>
      </c>
      <c r="DV46" s="12">
        <f t="shared" si="48"/>
        <v>0</v>
      </c>
      <c r="DW46" s="12">
        <f t="shared" si="48"/>
        <v>33481.42</v>
      </c>
      <c r="DX46" s="16">
        <f t="shared" si="48"/>
        <v>0</v>
      </c>
      <c r="DY46" s="59">
        <f t="shared" si="196"/>
        <v>0</v>
      </c>
      <c r="DZ46" s="69">
        <f>19782.61+15238.44</f>
        <v>35021.050000000003</v>
      </c>
      <c r="EA46" s="68">
        <v>1</v>
      </c>
      <c r="EB46" s="12"/>
      <c r="EC46" s="12"/>
      <c r="ED46" s="12"/>
      <c r="EE46" s="15"/>
      <c r="EF46" s="15">
        <v>1</v>
      </c>
      <c r="EG46" s="15"/>
      <c r="EH46" s="61">
        <f t="shared" si="197"/>
        <v>0</v>
      </c>
      <c r="EI46" s="66">
        <f t="shared" si="275"/>
        <v>0</v>
      </c>
      <c r="EJ46" s="12">
        <f t="shared" si="275"/>
        <v>0</v>
      </c>
      <c r="EK46" s="12">
        <f t="shared" si="275"/>
        <v>0</v>
      </c>
      <c r="EL46" s="12">
        <f t="shared" si="275"/>
        <v>0</v>
      </c>
      <c r="EM46" s="12">
        <f t="shared" si="275"/>
        <v>35021.050000000003</v>
      </c>
      <c r="EN46" s="16">
        <f t="shared" si="275"/>
        <v>0</v>
      </c>
      <c r="EO46" s="59">
        <f t="shared" si="198"/>
        <v>0</v>
      </c>
      <c r="EP46" s="69">
        <v>35000</v>
      </c>
      <c r="EQ46" s="68">
        <v>1</v>
      </c>
      <c r="ER46" s="12"/>
      <c r="ES46" s="12"/>
      <c r="ET46" s="15">
        <v>1</v>
      </c>
      <c r="EU46" s="15"/>
      <c r="EV46" s="61">
        <f t="shared" si="199"/>
        <v>0</v>
      </c>
      <c r="EW46" s="66">
        <f t="shared" si="49"/>
        <v>0</v>
      </c>
      <c r="EX46" s="12">
        <f t="shared" si="49"/>
        <v>0</v>
      </c>
      <c r="EY46" s="12">
        <f t="shared" si="49"/>
        <v>35000</v>
      </c>
      <c r="EZ46" s="16">
        <f t="shared" si="49"/>
        <v>0</v>
      </c>
      <c r="FA46" s="59">
        <f t="shared" si="200"/>
        <v>0</v>
      </c>
      <c r="FB46" s="69">
        <v>35000</v>
      </c>
      <c r="FC46" s="68">
        <v>1</v>
      </c>
      <c r="FD46" s="12"/>
      <c r="FE46" s="15">
        <v>1</v>
      </c>
      <c r="FF46" s="15"/>
      <c r="FG46" s="61">
        <f t="shared" si="201"/>
        <v>0</v>
      </c>
      <c r="FH46" s="66">
        <f t="shared" si="50"/>
        <v>0</v>
      </c>
      <c r="FI46" s="12">
        <f t="shared" si="50"/>
        <v>35000</v>
      </c>
      <c r="FJ46" s="16">
        <f t="shared" si="50"/>
        <v>0</v>
      </c>
      <c r="FK46" s="59">
        <f t="shared" si="202"/>
        <v>0</v>
      </c>
      <c r="FL46" s="69">
        <v>35000</v>
      </c>
      <c r="FM46" s="68">
        <v>1</v>
      </c>
      <c r="FN46" s="12"/>
      <c r="FO46" s="15">
        <v>1</v>
      </c>
      <c r="FP46" s="15"/>
      <c r="FQ46" s="15"/>
      <c r="FR46" s="15"/>
      <c r="FS46" s="61">
        <f t="shared" si="203"/>
        <v>0</v>
      </c>
      <c r="FT46" s="66">
        <f t="shared" ref="FT46:FT61" si="296">IF($FM46&lt;&gt;0,FN46*$FL46/$FM46,0)</f>
        <v>0</v>
      </c>
      <c r="FU46" s="12">
        <f t="shared" ref="FU46:FU61" si="297">IF($FM46&lt;&gt;0,FO46*$FL46/$FM46,0)</f>
        <v>35000</v>
      </c>
      <c r="FV46" s="12">
        <f t="shared" si="206"/>
        <v>0</v>
      </c>
      <c r="FW46" s="12">
        <f t="shared" si="207"/>
        <v>0</v>
      </c>
      <c r="FX46" s="16">
        <f t="shared" si="51"/>
        <v>0</v>
      </c>
      <c r="FY46" s="59">
        <f t="shared" si="52"/>
        <v>0</v>
      </c>
      <c r="FZ46" s="69">
        <v>35000</v>
      </c>
      <c r="GA46" s="68">
        <v>1</v>
      </c>
      <c r="GB46" s="12"/>
      <c r="GC46" s="15">
        <v>1</v>
      </c>
      <c r="GD46" s="15"/>
      <c r="GE46" s="15"/>
      <c r="GF46" s="61">
        <f t="shared" si="208"/>
        <v>0</v>
      </c>
      <c r="GG46" s="66">
        <f t="shared" si="53"/>
        <v>0</v>
      </c>
      <c r="GH46" s="66">
        <f>IF($GA46&lt;&gt;0,GB46*$FZ46/$GA46,0)</f>
        <v>0</v>
      </c>
      <c r="GI46" s="12">
        <f t="shared" si="289"/>
        <v>35000</v>
      </c>
      <c r="GJ46" s="12">
        <f t="shared" si="179"/>
        <v>35000</v>
      </c>
      <c r="GK46" s="31">
        <f t="shared" si="290"/>
        <v>0</v>
      </c>
      <c r="GL46" s="123">
        <f t="shared" si="291"/>
        <v>0</v>
      </c>
      <c r="GM46" s="410">
        <f t="shared" si="16"/>
        <v>0</v>
      </c>
      <c r="GN46" s="414">
        <v>35000</v>
      </c>
      <c r="GO46" s="68">
        <v>1</v>
      </c>
      <c r="GP46" s="12"/>
      <c r="GQ46" s="15">
        <v>1</v>
      </c>
      <c r="GR46" s="15"/>
      <c r="GS46" s="15"/>
      <c r="GT46" s="15"/>
      <c r="GU46" s="61">
        <f t="shared" si="54"/>
        <v>0</v>
      </c>
      <c r="GV46" s="66">
        <f t="shared" si="17"/>
        <v>0</v>
      </c>
      <c r="GW46" s="12">
        <f t="shared" si="18"/>
        <v>35000</v>
      </c>
      <c r="GX46" s="12">
        <f t="shared" si="19"/>
        <v>0</v>
      </c>
      <c r="GY46" s="12">
        <f t="shared" si="20"/>
        <v>0</v>
      </c>
      <c r="GZ46" s="16">
        <f t="shared" si="21"/>
        <v>0</v>
      </c>
      <c r="HA46" s="59">
        <f t="shared" si="55"/>
        <v>0</v>
      </c>
      <c r="HB46" s="69">
        <v>50000</v>
      </c>
      <c r="HC46" s="68">
        <v>1</v>
      </c>
      <c r="HD46" s="12"/>
      <c r="HE46" s="15">
        <v>1</v>
      </c>
      <c r="HF46" s="15"/>
      <c r="HG46" s="15"/>
      <c r="HH46" s="15"/>
      <c r="HI46" s="15"/>
      <c r="HJ46" s="15"/>
      <c r="HK46" s="15"/>
      <c r="HL46" s="61">
        <f t="shared" si="56"/>
        <v>0</v>
      </c>
      <c r="HM46" s="66">
        <f t="shared" si="22"/>
        <v>0</v>
      </c>
      <c r="HN46" s="12">
        <f t="shared" si="23"/>
        <v>50000</v>
      </c>
      <c r="HO46" s="12">
        <f t="shared" si="24"/>
        <v>0</v>
      </c>
      <c r="HP46" s="12">
        <f t="shared" si="25"/>
        <v>0</v>
      </c>
      <c r="HQ46" s="12">
        <f t="shared" si="26"/>
        <v>0</v>
      </c>
      <c r="HR46" s="12">
        <f t="shared" si="27"/>
        <v>0</v>
      </c>
      <c r="HS46" s="12">
        <f t="shared" si="28"/>
        <v>0</v>
      </c>
      <c r="HT46" s="16">
        <f t="shared" si="29"/>
        <v>0</v>
      </c>
      <c r="HU46" s="59">
        <f t="shared" si="57"/>
        <v>0</v>
      </c>
      <c r="HV46" s="69">
        <v>35000</v>
      </c>
      <c r="HW46" s="68">
        <v>1</v>
      </c>
      <c r="HX46" s="12"/>
      <c r="HY46" s="15"/>
      <c r="HZ46" s="61">
        <f t="shared" si="58"/>
        <v>1</v>
      </c>
      <c r="IA46" s="66">
        <f t="shared" si="59"/>
        <v>0</v>
      </c>
      <c r="IB46" s="16">
        <f t="shared" si="59"/>
        <v>0</v>
      </c>
      <c r="IC46" s="59">
        <f t="shared" si="60"/>
        <v>35000</v>
      </c>
      <c r="ID46" s="69">
        <v>50000</v>
      </c>
      <c r="IE46" s="68">
        <v>1</v>
      </c>
      <c r="IF46" s="12"/>
      <c r="IG46" s="15">
        <v>1</v>
      </c>
      <c r="IH46" s="15"/>
      <c r="II46" s="15"/>
      <c r="IJ46" s="15"/>
      <c r="IK46" s="15"/>
      <c r="IL46" s="15"/>
      <c r="IM46" s="15"/>
      <c r="IN46" s="15"/>
      <c r="IO46" s="61">
        <f t="shared" si="61"/>
        <v>0</v>
      </c>
      <c r="IP46" s="66">
        <f t="shared" si="62"/>
        <v>0</v>
      </c>
      <c r="IQ46" s="12">
        <f t="shared" si="63"/>
        <v>50000</v>
      </c>
      <c r="IR46" s="12">
        <f t="shared" si="64"/>
        <v>0</v>
      </c>
      <c r="IS46" s="12">
        <f t="shared" si="65"/>
        <v>0</v>
      </c>
      <c r="IT46" s="12">
        <f t="shared" si="66"/>
        <v>0</v>
      </c>
      <c r="IU46" s="12">
        <f t="shared" si="67"/>
        <v>0</v>
      </c>
      <c r="IV46" s="12">
        <f t="shared" si="68"/>
        <v>0</v>
      </c>
      <c r="IW46" s="15">
        <f t="shared" si="69"/>
        <v>0</v>
      </c>
      <c r="IX46" s="16">
        <f t="shared" si="69"/>
        <v>0</v>
      </c>
      <c r="IY46" s="59">
        <f t="shared" si="70"/>
        <v>0</v>
      </c>
      <c r="IZ46" s="69">
        <f>42857.14+3861.9</f>
        <v>46719.040000000001</v>
      </c>
      <c r="JA46" s="68">
        <v>1</v>
      </c>
      <c r="JB46" s="12"/>
      <c r="JC46" s="15">
        <v>1</v>
      </c>
      <c r="JD46" s="15"/>
      <c r="JE46" s="15"/>
      <c r="JF46" s="15"/>
      <c r="JG46" s="15"/>
      <c r="JH46" s="15"/>
      <c r="JI46" s="15"/>
      <c r="JJ46" s="15"/>
      <c r="JK46" s="61">
        <f t="shared" si="295"/>
        <v>0</v>
      </c>
      <c r="JL46" s="66">
        <f t="shared" si="72"/>
        <v>0</v>
      </c>
      <c r="JM46" s="12">
        <f t="shared" si="276"/>
        <v>46719.040000000001</v>
      </c>
      <c r="JN46" s="12">
        <f t="shared" si="277"/>
        <v>0</v>
      </c>
      <c r="JO46" s="12">
        <f t="shared" si="278"/>
        <v>0</v>
      </c>
      <c r="JP46" s="12">
        <f t="shared" si="279"/>
        <v>0</v>
      </c>
      <c r="JQ46" s="12">
        <f t="shared" si="280"/>
        <v>0</v>
      </c>
      <c r="JR46" s="12">
        <f t="shared" si="281"/>
        <v>0</v>
      </c>
      <c r="JS46" s="12">
        <f t="shared" si="282"/>
        <v>0</v>
      </c>
      <c r="JT46" s="16">
        <f t="shared" si="283"/>
        <v>0</v>
      </c>
      <c r="JU46" s="59">
        <f t="shared" si="81"/>
        <v>0</v>
      </c>
      <c r="JV46" s="69">
        <v>50000</v>
      </c>
      <c r="JW46" s="68">
        <v>1</v>
      </c>
      <c r="JX46" s="12"/>
      <c r="JY46" s="12"/>
      <c r="JZ46" s="15">
        <v>1</v>
      </c>
      <c r="KA46" s="15"/>
      <c r="KB46" s="15"/>
      <c r="KC46" s="15"/>
      <c r="KD46" s="15"/>
      <c r="KE46" s="15"/>
      <c r="KF46" s="15"/>
      <c r="KG46" s="61">
        <f t="shared" si="82"/>
        <v>0</v>
      </c>
      <c r="KH46" s="146">
        <f t="shared" si="83"/>
        <v>0</v>
      </c>
      <c r="KI46" s="12">
        <f t="shared" si="83"/>
        <v>0</v>
      </c>
      <c r="KJ46" s="12">
        <f t="shared" si="84"/>
        <v>50000</v>
      </c>
      <c r="KK46" s="12">
        <f t="shared" si="85"/>
        <v>0</v>
      </c>
      <c r="KL46" s="12">
        <f t="shared" si="86"/>
        <v>0</v>
      </c>
      <c r="KM46" s="12">
        <f t="shared" si="87"/>
        <v>0</v>
      </c>
      <c r="KN46" s="12">
        <f t="shared" si="88"/>
        <v>0</v>
      </c>
      <c r="KO46" s="12">
        <f t="shared" si="89"/>
        <v>0</v>
      </c>
      <c r="KP46" s="16">
        <f t="shared" si="90"/>
        <v>0</v>
      </c>
      <c r="KQ46" s="59">
        <f t="shared" si="91"/>
        <v>0</v>
      </c>
      <c r="KR46" s="69">
        <v>69698.880000000005</v>
      </c>
      <c r="KS46" s="68">
        <v>1</v>
      </c>
      <c r="KT46" s="12"/>
      <c r="KU46" s="15">
        <v>1</v>
      </c>
      <c r="KV46" s="15"/>
      <c r="KW46" s="15"/>
      <c r="KX46" s="15"/>
      <c r="KY46" s="15"/>
      <c r="KZ46" s="15"/>
      <c r="LA46" s="15"/>
      <c r="LB46" s="61">
        <f t="shared" si="92"/>
        <v>0</v>
      </c>
      <c r="LC46" s="66">
        <f t="shared" si="93"/>
        <v>0</v>
      </c>
      <c r="LD46" s="12">
        <f t="shared" si="94"/>
        <v>69698.880000000005</v>
      </c>
      <c r="LE46" s="12">
        <f t="shared" si="95"/>
        <v>0</v>
      </c>
      <c r="LF46" s="12">
        <f t="shared" si="96"/>
        <v>0</v>
      </c>
      <c r="LG46" s="12">
        <f t="shared" si="97"/>
        <v>0</v>
      </c>
      <c r="LH46" s="12">
        <f t="shared" si="98"/>
        <v>0</v>
      </c>
      <c r="LI46" s="12">
        <f t="shared" si="99"/>
        <v>0</v>
      </c>
      <c r="LJ46" s="16">
        <f t="shared" si="100"/>
        <v>0</v>
      </c>
      <c r="LK46" s="59">
        <f t="shared" si="101"/>
        <v>0</v>
      </c>
      <c r="LL46" s="69">
        <v>27272.73</v>
      </c>
      <c r="LM46" s="68">
        <v>1</v>
      </c>
      <c r="LN46" s="15">
        <v>1</v>
      </c>
      <c r="LO46" s="15"/>
      <c r="LP46" s="15"/>
      <c r="LQ46" s="15"/>
      <c r="LR46" s="15"/>
      <c r="LS46" s="15"/>
      <c r="LT46" s="15"/>
      <c r="LU46" s="61">
        <f t="shared" si="102"/>
        <v>0</v>
      </c>
      <c r="LV46" s="66">
        <f t="shared" si="103"/>
        <v>27272.73</v>
      </c>
      <c r="LW46" s="12">
        <f t="shared" si="104"/>
        <v>0</v>
      </c>
      <c r="LX46" s="12">
        <f t="shared" si="105"/>
        <v>0</v>
      </c>
      <c r="LY46" s="12">
        <f t="shared" si="106"/>
        <v>0</v>
      </c>
      <c r="LZ46" s="12">
        <f t="shared" si="107"/>
        <v>0</v>
      </c>
      <c r="MA46" s="12">
        <f t="shared" si="108"/>
        <v>0</v>
      </c>
      <c r="MB46" s="16">
        <f t="shared" si="109"/>
        <v>0</v>
      </c>
      <c r="MC46" s="59">
        <f t="shared" si="110"/>
        <v>0</v>
      </c>
      <c r="MD46" s="69">
        <v>50000</v>
      </c>
      <c r="ME46" s="68">
        <v>1</v>
      </c>
      <c r="MF46" s="15"/>
      <c r="MG46" s="15"/>
      <c r="MH46" s="15">
        <v>1</v>
      </c>
      <c r="MI46" s="15"/>
      <c r="MJ46" s="15"/>
      <c r="MK46" s="15"/>
      <c r="ML46" s="15"/>
      <c r="MM46" s="61">
        <f t="shared" si="111"/>
        <v>0</v>
      </c>
      <c r="MN46" s="66">
        <f t="shared" si="112"/>
        <v>0</v>
      </c>
      <c r="MO46" s="12">
        <f t="shared" si="113"/>
        <v>0</v>
      </c>
      <c r="MP46" s="12">
        <f t="shared" si="114"/>
        <v>50000</v>
      </c>
      <c r="MQ46" s="12">
        <f t="shared" si="115"/>
        <v>0</v>
      </c>
      <c r="MR46" s="12">
        <f t="shared" si="116"/>
        <v>0</v>
      </c>
      <c r="MS46" s="12">
        <f t="shared" si="116"/>
        <v>0</v>
      </c>
      <c r="MT46" s="16">
        <f t="shared" si="117"/>
        <v>0</v>
      </c>
      <c r="MU46" s="59">
        <f t="shared" si="189"/>
        <v>0</v>
      </c>
      <c r="MV46" s="620">
        <v>50000</v>
      </c>
      <c r="MW46" s="619">
        <v>1</v>
      </c>
      <c r="MX46" s="15"/>
      <c r="MY46" s="15"/>
      <c r="MZ46" s="15">
        <v>0.8</v>
      </c>
      <c r="NA46" s="15"/>
      <c r="NB46" s="15"/>
      <c r="NC46" s="15"/>
      <c r="ND46" s="15"/>
      <c r="NE46" s="61">
        <f t="shared" si="118"/>
        <v>0.2</v>
      </c>
      <c r="NF46" s="66">
        <f t="shared" si="119"/>
        <v>0</v>
      </c>
      <c r="NG46" s="12">
        <f t="shared" si="120"/>
        <v>0</v>
      </c>
      <c r="NH46" s="12">
        <f t="shared" si="121"/>
        <v>40000</v>
      </c>
      <c r="NI46" s="12">
        <f t="shared" si="122"/>
        <v>0</v>
      </c>
      <c r="NJ46" s="12">
        <f t="shared" si="123"/>
        <v>0</v>
      </c>
      <c r="NK46" s="12">
        <f t="shared" si="123"/>
        <v>0</v>
      </c>
      <c r="NL46" s="16">
        <f t="shared" si="124"/>
        <v>0</v>
      </c>
      <c r="NM46" s="59">
        <f t="shared" si="125"/>
        <v>10000</v>
      </c>
      <c r="NN46" s="620">
        <v>60000</v>
      </c>
      <c r="NO46" s="619">
        <v>1</v>
      </c>
      <c r="NP46" s="15"/>
      <c r="NQ46" s="15">
        <v>1</v>
      </c>
      <c r="NR46" s="15"/>
      <c r="NS46" s="15"/>
      <c r="NT46" s="15"/>
      <c r="NU46" s="61">
        <f t="shared" si="126"/>
        <v>0</v>
      </c>
      <c r="NV46" s="66">
        <f t="shared" si="190"/>
        <v>0</v>
      </c>
      <c r="NW46" s="12">
        <f t="shared" si="209"/>
        <v>60000</v>
      </c>
      <c r="NX46" s="12">
        <f t="shared" si="210"/>
        <v>0</v>
      </c>
      <c r="NY46" s="12">
        <f t="shared" si="211"/>
        <v>0</v>
      </c>
      <c r="NZ46" s="16">
        <f t="shared" si="212"/>
        <v>0</v>
      </c>
      <c r="OA46" s="59">
        <f t="shared" si="131"/>
        <v>0</v>
      </c>
      <c r="OB46" s="134">
        <v>60000</v>
      </c>
      <c r="OC46" s="133">
        <v>1</v>
      </c>
      <c r="OD46" s="15"/>
      <c r="OE46" s="15">
        <v>1</v>
      </c>
      <c r="OF46" s="15"/>
      <c r="OG46" s="15"/>
      <c r="OH46" s="15"/>
      <c r="OI46" s="61">
        <f t="shared" si="163"/>
        <v>0</v>
      </c>
      <c r="OJ46" s="66">
        <f t="shared" si="132"/>
        <v>0</v>
      </c>
      <c r="OK46" s="12">
        <f>IF($OC46&lt;&gt;0,OE46*$OB46/$OC46,0)</f>
        <v>60000</v>
      </c>
      <c r="OL46" s="12">
        <f t="shared" si="134"/>
        <v>0</v>
      </c>
      <c r="OM46" s="12">
        <f t="shared" si="135"/>
        <v>0</v>
      </c>
      <c r="ON46" s="16">
        <f t="shared" si="136"/>
        <v>0</v>
      </c>
      <c r="OO46" s="59">
        <f t="shared" si="137"/>
        <v>0</v>
      </c>
      <c r="OP46" s="134">
        <v>60000</v>
      </c>
      <c r="OQ46" s="133">
        <v>1</v>
      </c>
      <c r="OR46" s="15"/>
      <c r="OS46" s="15">
        <v>0.5</v>
      </c>
      <c r="OT46" s="15"/>
      <c r="OU46" s="15"/>
      <c r="OV46" s="15"/>
      <c r="OW46" s="61">
        <f t="shared" si="138"/>
        <v>0.5</v>
      </c>
      <c r="OX46" s="66">
        <f t="shared" si="139"/>
        <v>0</v>
      </c>
      <c r="OY46" s="12">
        <f t="shared" si="140"/>
        <v>30000</v>
      </c>
      <c r="OZ46" s="12">
        <f t="shared" si="141"/>
        <v>0</v>
      </c>
      <c r="PA46" s="12">
        <f t="shared" si="142"/>
        <v>0</v>
      </c>
      <c r="PB46" s="16">
        <f t="shared" si="143"/>
        <v>0</v>
      </c>
      <c r="PC46" s="59">
        <f t="shared" si="144"/>
        <v>30000</v>
      </c>
      <c r="PD46" s="134">
        <v>60000</v>
      </c>
      <c r="PE46" s="133">
        <v>1</v>
      </c>
      <c r="PF46" s="15"/>
      <c r="PG46" s="15"/>
      <c r="PH46" s="15"/>
      <c r="PI46" s="15"/>
      <c r="PJ46" s="15"/>
      <c r="PK46" s="61">
        <f t="shared" si="145"/>
        <v>1</v>
      </c>
      <c r="PL46" s="66">
        <f t="shared" si="174"/>
        <v>0</v>
      </c>
      <c r="PM46" s="12">
        <f t="shared" si="175"/>
        <v>0</v>
      </c>
      <c r="PN46" s="12">
        <f t="shared" si="176"/>
        <v>0</v>
      </c>
      <c r="PO46" s="12">
        <f t="shared" si="177"/>
        <v>0</v>
      </c>
      <c r="PP46" s="16">
        <f t="shared" si="178"/>
        <v>0</v>
      </c>
      <c r="PQ46" s="59">
        <f t="shared" si="150"/>
        <v>60000</v>
      </c>
      <c r="PS46" s="884">
        <f t="shared" si="151"/>
        <v>0</v>
      </c>
    </row>
    <row r="47" spans="2:435" x14ac:dyDescent="0.2">
      <c r="B47" s="24"/>
      <c r="C47" s="137" t="s">
        <v>213</v>
      </c>
      <c r="D47" s="26"/>
      <c r="E47" s="42"/>
      <c r="F47" s="31"/>
      <c r="G47" s="12"/>
      <c r="H47" s="12"/>
      <c r="I47" s="12"/>
      <c r="J47" s="12"/>
      <c r="K47" s="12"/>
      <c r="L47" s="15"/>
      <c r="M47" s="61"/>
      <c r="N47" s="31"/>
      <c r="O47" s="12"/>
      <c r="P47" s="12"/>
      <c r="Q47" s="12"/>
      <c r="R47" s="12"/>
      <c r="S47" s="12"/>
      <c r="T47" s="15"/>
      <c r="U47" s="59"/>
      <c r="V47" s="26"/>
      <c r="W47" s="42"/>
      <c r="X47" s="31"/>
      <c r="Y47" s="12"/>
      <c r="Z47" s="12"/>
      <c r="AA47" s="12"/>
      <c r="AB47" s="12"/>
      <c r="AC47" s="12"/>
      <c r="AD47" s="15"/>
      <c r="AE47" s="15"/>
      <c r="AF47" s="61"/>
      <c r="AG47" s="35"/>
      <c r="AH47" s="35"/>
      <c r="AI47" s="35"/>
      <c r="AJ47" s="35"/>
      <c r="AK47" s="35"/>
      <c r="AL47" s="35"/>
      <c r="AM47" s="35"/>
      <c r="AN47" s="35"/>
      <c r="AO47" s="62"/>
      <c r="AP47" s="26"/>
      <c r="AQ47" s="42"/>
      <c r="AR47" s="12"/>
      <c r="AS47" s="12"/>
      <c r="AT47" s="12"/>
      <c r="AU47" s="12"/>
      <c r="AV47" s="15"/>
      <c r="AW47" s="15"/>
      <c r="AX47" s="61"/>
      <c r="AY47" s="35"/>
      <c r="AZ47" s="35"/>
      <c r="BA47" s="35"/>
      <c r="BB47" s="35"/>
      <c r="BC47" s="35"/>
      <c r="BD47" s="34"/>
      <c r="BE47" s="59"/>
      <c r="BF47" s="26"/>
      <c r="BG47" s="42"/>
      <c r="BH47" s="12"/>
      <c r="BI47" s="12"/>
      <c r="BJ47" s="12"/>
      <c r="BK47" s="12"/>
      <c r="BL47" s="15"/>
      <c r="BM47" s="15"/>
      <c r="BN47" s="15"/>
      <c r="BO47" s="61"/>
      <c r="BP47" s="65"/>
      <c r="BQ47" s="33"/>
      <c r="BR47" s="33"/>
      <c r="BS47" s="33"/>
      <c r="BT47" s="33"/>
      <c r="BU47" s="33"/>
      <c r="BV47" s="34"/>
      <c r="BW47" s="59"/>
      <c r="BX47" s="69"/>
      <c r="BY47" s="68"/>
      <c r="BZ47" s="31"/>
      <c r="CA47" s="12"/>
      <c r="CB47" s="12"/>
      <c r="CC47" s="12"/>
      <c r="CD47" s="15"/>
      <c r="CE47" s="15"/>
      <c r="CF47" s="15"/>
      <c r="CG47" s="61"/>
      <c r="CH47" s="66"/>
      <c r="CI47" s="12"/>
      <c r="CJ47" s="12"/>
      <c r="CK47" s="12"/>
      <c r="CL47" s="12"/>
      <c r="CM47" s="12"/>
      <c r="CN47" s="16"/>
      <c r="CO47" s="59"/>
      <c r="CP47" s="69"/>
      <c r="CQ47" s="68"/>
      <c r="CR47" s="12"/>
      <c r="CS47" s="12"/>
      <c r="CT47" s="12"/>
      <c r="CU47" s="12"/>
      <c r="CV47" s="15"/>
      <c r="CW47" s="15"/>
      <c r="CX47" s="15"/>
      <c r="CY47" s="61"/>
      <c r="CZ47" s="66"/>
      <c r="DA47" s="12"/>
      <c r="DB47" s="12"/>
      <c r="DC47" s="12"/>
      <c r="DD47" s="12"/>
      <c r="DE47" s="12"/>
      <c r="DF47" s="16"/>
      <c r="DG47" s="59"/>
      <c r="DH47" s="69"/>
      <c r="DI47" s="68"/>
      <c r="DJ47" s="12"/>
      <c r="DK47" s="12"/>
      <c r="DL47" s="12"/>
      <c r="DM47" s="12"/>
      <c r="DN47" s="15"/>
      <c r="DO47" s="15"/>
      <c r="DP47" s="15"/>
      <c r="DQ47" s="61"/>
      <c r="DR47" s="66"/>
      <c r="DS47" s="12"/>
      <c r="DT47" s="12"/>
      <c r="DU47" s="12"/>
      <c r="DV47" s="12"/>
      <c r="DW47" s="12"/>
      <c r="DX47" s="16"/>
      <c r="DY47" s="59"/>
      <c r="DZ47" s="69"/>
      <c r="EA47" s="68"/>
      <c r="EB47" s="12"/>
      <c r="EC47" s="12"/>
      <c r="ED47" s="12"/>
      <c r="EE47" s="15"/>
      <c r="EF47" s="15"/>
      <c r="EG47" s="15"/>
      <c r="EH47" s="61"/>
      <c r="EI47" s="66"/>
      <c r="EJ47" s="12"/>
      <c r="EK47" s="12"/>
      <c r="EL47" s="12"/>
      <c r="EM47" s="12"/>
      <c r="EN47" s="16"/>
      <c r="EO47" s="59"/>
      <c r="EP47" s="69"/>
      <c r="EQ47" s="68"/>
      <c r="ER47" s="12"/>
      <c r="ES47" s="12"/>
      <c r="ET47" s="15"/>
      <c r="EU47" s="15"/>
      <c r="EV47" s="61"/>
      <c r="EW47" s="66"/>
      <c r="EX47" s="12"/>
      <c r="EY47" s="12"/>
      <c r="EZ47" s="16"/>
      <c r="FA47" s="59"/>
      <c r="FB47" s="69"/>
      <c r="FC47" s="68"/>
      <c r="FD47" s="12"/>
      <c r="FE47" s="15"/>
      <c r="FF47" s="15"/>
      <c r="FG47" s="61"/>
      <c r="FH47" s="66"/>
      <c r="FI47" s="12"/>
      <c r="FJ47" s="16"/>
      <c r="FK47" s="59"/>
      <c r="FL47" s="69"/>
      <c r="FM47" s="68"/>
      <c r="FN47" s="12"/>
      <c r="FO47" s="15"/>
      <c r="FP47" s="15"/>
      <c r="FQ47" s="15"/>
      <c r="FR47" s="15"/>
      <c r="FS47" s="61"/>
      <c r="FT47" s="66"/>
      <c r="FU47" s="12"/>
      <c r="FV47" s="12"/>
      <c r="FW47" s="12"/>
      <c r="FX47" s="16"/>
      <c r="FY47" s="59"/>
      <c r="FZ47" s="69"/>
      <c r="GA47" s="68"/>
      <c r="GB47" s="12"/>
      <c r="GC47" s="15"/>
      <c r="GD47" s="15"/>
      <c r="GE47" s="15"/>
      <c r="GF47" s="61"/>
      <c r="GG47" s="66"/>
      <c r="GH47" s="66"/>
      <c r="GI47" s="12"/>
      <c r="GJ47" s="12">
        <f>IF($GA47&lt;&gt;0,GC47*$FZ47/$GA47,0)</f>
        <v>0</v>
      </c>
      <c r="GK47" s="31"/>
      <c r="GL47" s="123"/>
      <c r="GM47" s="410"/>
      <c r="GN47" s="414"/>
      <c r="GO47" s="68"/>
      <c r="GP47" s="12"/>
      <c r="GQ47" s="15"/>
      <c r="GR47" s="15"/>
      <c r="GS47" s="15"/>
      <c r="GT47" s="15"/>
      <c r="GU47" s="61"/>
      <c r="GV47" s="66"/>
      <c r="GW47" s="12"/>
      <c r="GX47" s="12"/>
      <c r="GY47" s="12"/>
      <c r="GZ47" s="16"/>
      <c r="HA47" s="59"/>
      <c r="HB47" s="69"/>
      <c r="HC47" s="68"/>
      <c r="HD47" s="12"/>
      <c r="HE47" s="15"/>
      <c r="HF47" s="15"/>
      <c r="HG47" s="15"/>
      <c r="HH47" s="15"/>
      <c r="HI47" s="15"/>
      <c r="HJ47" s="15"/>
      <c r="HK47" s="15"/>
      <c r="HL47" s="61"/>
      <c r="HM47" s="66"/>
      <c r="HN47" s="12"/>
      <c r="HO47" s="12"/>
      <c r="HP47" s="12"/>
      <c r="HQ47" s="12"/>
      <c r="HR47" s="12"/>
      <c r="HS47" s="12"/>
      <c r="HT47" s="16"/>
      <c r="HU47" s="59"/>
      <c r="HV47" s="69"/>
      <c r="HW47" s="68"/>
      <c r="HX47" s="12"/>
      <c r="HY47" s="15"/>
      <c r="HZ47" s="61"/>
      <c r="IA47" s="66"/>
      <c r="IB47" s="16"/>
      <c r="IC47" s="59"/>
      <c r="ID47" s="69"/>
      <c r="IE47" s="68"/>
      <c r="IF47" s="12"/>
      <c r="IG47" s="15"/>
      <c r="IH47" s="15"/>
      <c r="II47" s="15"/>
      <c r="IJ47" s="15"/>
      <c r="IK47" s="15"/>
      <c r="IL47" s="15"/>
      <c r="IM47" s="15"/>
      <c r="IN47" s="15"/>
      <c r="IO47" s="61"/>
      <c r="IP47" s="66"/>
      <c r="IQ47" s="12"/>
      <c r="IR47" s="12"/>
      <c r="IS47" s="12"/>
      <c r="IT47" s="12"/>
      <c r="IU47" s="12"/>
      <c r="IV47" s="12"/>
      <c r="IW47" s="15"/>
      <c r="IX47" s="16"/>
      <c r="IY47" s="59"/>
      <c r="IZ47" s="69"/>
      <c r="JA47" s="68"/>
      <c r="JB47" s="12"/>
      <c r="JC47" s="15"/>
      <c r="JD47" s="15"/>
      <c r="JE47" s="15"/>
      <c r="JF47" s="15"/>
      <c r="JG47" s="15"/>
      <c r="JH47" s="15"/>
      <c r="JI47" s="15"/>
      <c r="JJ47" s="15"/>
      <c r="JK47" s="61"/>
      <c r="JL47" s="66"/>
      <c r="JM47" s="12">
        <f>IF($JA47&lt;&gt;0,JC47*$IZ47/$JA47,0)</f>
        <v>0</v>
      </c>
      <c r="JN47" s="12"/>
      <c r="JO47" s="12"/>
      <c r="JP47" s="12"/>
      <c r="JQ47" s="12"/>
      <c r="JR47" s="12"/>
      <c r="JS47" s="12"/>
      <c r="JT47" s="16"/>
      <c r="JU47" s="59">
        <f>IZ47-JL47-JM47-JN47-JO47-JP47-JQ47-JR47-JS47-JT47</f>
        <v>0</v>
      </c>
      <c r="JV47" s="69"/>
      <c r="JW47" s="68"/>
      <c r="JX47" s="12"/>
      <c r="JY47" s="12"/>
      <c r="JZ47" s="15"/>
      <c r="KA47" s="15"/>
      <c r="KB47" s="15"/>
      <c r="KC47" s="15"/>
      <c r="KD47" s="15"/>
      <c r="KE47" s="15"/>
      <c r="KF47" s="15"/>
      <c r="KG47" s="61">
        <f>JW47-JX47-JZ47-KA47-KB47-KC47-KD47-KE47-KF47-JY47</f>
        <v>0</v>
      </c>
      <c r="KH47" s="146">
        <f t="shared" ref="KH47:KP47" si="298">IF($JW47&lt;&gt;0,JX47*$JV47/$JW47,0)</f>
        <v>0</v>
      </c>
      <c r="KI47" s="12">
        <f t="shared" si="298"/>
        <v>0</v>
      </c>
      <c r="KJ47" s="12">
        <f t="shared" si="298"/>
        <v>0</v>
      </c>
      <c r="KK47" s="12">
        <f t="shared" si="298"/>
        <v>0</v>
      </c>
      <c r="KL47" s="12">
        <f t="shared" si="298"/>
        <v>0</v>
      </c>
      <c r="KM47" s="12">
        <f t="shared" si="298"/>
        <v>0</v>
      </c>
      <c r="KN47" s="12">
        <f t="shared" si="298"/>
        <v>0</v>
      </c>
      <c r="KO47" s="12">
        <f t="shared" si="298"/>
        <v>0</v>
      </c>
      <c r="KP47" s="16">
        <f t="shared" si="298"/>
        <v>0</v>
      </c>
      <c r="KQ47" s="59">
        <f>JV47-KH47-KJ47-KK47-KL47-KM47-KN47-KO47-KP47-KI47</f>
        <v>0</v>
      </c>
      <c r="KR47" s="69"/>
      <c r="KS47" s="68"/>
      <c r="KT47" s="12"/>
      <c r="KU47" s="15"/>
      <c r="KV47" s="15"/>
      <c r="KW47" s="15"/>
      <c r="KX47" s="15"/>
      <c r="KY47" s="15"/>
      <c r="KZ47" s="15"/>
      <c r="LA47" s="15"/>
      <c r="LB47" s="61">
        <f>KS47-KT47-KU47-KV47-KW47-KX47-KY47-KZ47-LA47</f>
        <v>0</v>
      </c>
      <c r="LC47" s="66">
        <f t="shared" ref="LC47:LJ47" si="299">IF($KS47&lt;&gt;0,KT47*$KR47/$KS47,0)</f>
        <v>0</v>
      </c>
      <c r="LD47" s="12">
        <f t="shared" si="299"/>
        <v>0</v>
      </c>
      <c r="LE47" s="12">
        <f t="shared" si="299"/>
        <v>0</v>
      </c>
      <c r="LF47" s="12">
        <f t="shared" si="299"/>
        <v>0</v>
      </c>
      <c r="LG47" s="12">
        <f t="shared" si="299"/>
        <v>0</v>
      </c>
      <c r="LH47" s="12">
        <f t="shared" si="299"/>
        <v>0</v>
      </c>
      <c r="LI47" s="12">
        <f t="shared" si="299"/>
        <v>0</v>
      </c>
      <c r="LJ47" s="16">
        <f t="shared" si="299"/>
        <v>0</v>
      </c>
      <c r="LK47" s="59">
        <f>KR47-LC47-LD47-LE47-LF47-LG47-LH47-LI47-LJ47</f>
        <v>0</v>
      </c>
      <c r="LL47" s="69">
        <v>50000</v>
      </c>
      <c r="LM47" s="68">
        <v>1</v>
      </c>
      <c r="LN47" s="15"/>
      <c r="LO47" s="15"/>
      <c r="LP47" s="15"/>
      <c r="LQ47" s="15">
        <v>1</v>
      </c>
      <c r="LR47" s="15"/>
      <c r="LS47" s="15"/>
      <c r="LT47" s="15"/>
      <c r="LU47" s="61">
        <f>LM47-LN47-LO47-LP47-LQ47-LR47-LS47-LT47</f>
        <v>0</v>
      </c>
      <c r="LV47" s="66">
        <f t="shared" ref="LV47:MB47" si="300">IF($LM47&lt;&gt;0,LN47*$LL47/$LM47,0)</f>
        <v>0</v>
      </c>
      <c r="LW47" s="12">
        <f t="shared" si="300"/>
        <v>0</v>
      </c>
      <c r="LX47" s="12">
        <f t="shared" si="300"/>
        <v>0</v>
      </c>
      <c r="LY47" s="12">
        <f t="shared" si="300"/>
        <v>50000</v>
      </c>
      <c r="LZ47" s="12">
        <f t="shared" si="300"/>
        <v>0</v>
      </c>
      <c r="MA47" s="12">
        <f t="shared" si="300"/>
        <v>0</v>
      </c>
      <c r="MB47" s="16">
        <f t="shared" si="300"/>
        <v>0</v>
      </c>
      <c r="MC47" s="59">
        <f>LL47-LV47-LW47-LX47-LY47-LZ47-MA47-MB47</f>
        <v>0</v>
      </c>
      <c r="MD47" s="69">
        <v>50000</v>
      </c>
      <c r="ME47" s="68">
        <v>1</v>
      </c>
      <c r="MF47" s="15"/>
      <c r="MG47" s="15"/>
      <c r="MH47" s="15">
        <v>0.8</v>
      </c>
      <c r="MI47" s="15"/>
      <c r="MJ47" s="15">
        <v>0.2</v>
      </c>
      <c r="MK47" s="15"/>
      <c r="ML47" s="15"/>
      <c r="MM47" s="61">
        <f t="shared" si="111"/>
        <v>0</v>
      </c>
      <c r="MN47" s="66">
        <f t="shared" ref="MN47:MT47" si="301">IF($ME47&lt;&gt;0,MF47*$MD47/$ME47,0)</f>
        <v>0</v>
      </c>
      <c r="MO47" s="12">
        <f t="shared" si="301"/>
        <v>0</v>
      </c>
      <c r="MP47" s="12">
        <f t="shared" si="301"/>
        <v>40000</v>
      </c>
      <c r="MQ47" s="12">
        <f t="shared" si="301"/>
        <v>0</v>
      </c>
      <c r="MR47" s="12">
        <f t="shared" si="301"/>
        <v>10000</v>
      </c>
      <c r="MS47" s="12">
        <f t="shared" si="301"/>
        <v>0</v>
      </c>
      <c r="MT47" s="16">
        <f t="shared" si="301"/>
        <v>0</v>
      </c>
      <c r="MU47" s="59">
        <f t="shared" si="189"/>
        <v>0</v>
      </c>
      <c r="MV47" s="620">
        <v>50000</v>
      </c>
      <c r="MW47" s="619">
        <v>1</v>
      </c>
      <c r="MX47" s="15"/>
      <c r="MY47" s="15"/>
      <c r="MZ47" s="15">
        <v>0.5</v>
      </c>
      <c r="NA47" s="15"/>
      <c r="NB47" s="15"/>
      <c r="NC47" s="15"/>
      <c r="ND47" s="15"/>
      <c r="NE47" s="61">
        <f t="shared" si="118"/>
        <v>0.5</v>
      </c>
      <c r="NF47" s="66">
        <f t="shared" ref="NF47:NL49" si="302">IF($MW47&lt;&gt;0,MX47*$MV47/$MW47,0)</f>
        <v>0</v>
      </c>
      <c r="NG47" s="12">
        <f t="shared" si="302"/>
        <v>0</v>
      </c>
      <c r="NH47" s="12">
        <f t="shared" si="302"/>
        <v>25000</v>
      </c>
      <c r="NI47" s="12">
        <f t="shared" si="302"/>
        <v>0</v>
      </c>
      <c r="NJ47" s="12">
        <f t="shared" si="302"/>
        <v>0</v>
      </c>
      <c r="NK47" s="12">
        <f t="shared" si="302"/>
        <v>0</v>
      </c>
      <c r="NL47" s="16">
        <f t="shared" si="302"/>
        <v>0</v>
      </c>
      <c r="NM47" s="59">
        <f t="shared" si="125"/>
        <v>25000</v>
      </c>
      <c r="NN47" s="620">
        <v>20730.05</v>
      </c>
      <c r="NO47" s="619">
        <v>0.13</v>
      </c>
      <c r="NP47" s="15"/>
      <c r="NQ47" s="15"/>
      <c r="NR47" s="15"/>
      <c r="NS47" s="15"/>
      <c r="NT47" s="15"/>
      <c r="NU47" s="61">
        <f t="shared" si="126"/>
        <v>0.13</v>
      </c>
      <c r="NV47" s="66">
        <f t="shared" si="190"/>
        <v>0</v>
      </c>
      <c r="NW47" s="12">
        <f t="shared" si="209"/>
        <v>0</v>
      </c>
      <c r="NX47" s="12">
        <f t="shared" si="210"/>
        <v>0</v>
      </c>
      <c r="NY47" s="12">
        <f t="shared" si="211"/>
        <v>0</v>
      </c>
      <c r="NZ47" s="16">
        <f t="shared" si="212"/>
        <v>0</v>
      </c>
      <c r="OA47" s="59">
        <f t="shared" si="131"/>
        <v>20730.05</v>
      </c>
      <c r="OB47" s="134"/>
      <c r="OC47" s="133"/>
      <c r="OD47" s="15"/>
      <c r="OE47" s="15"/>
      <c r="OF47" s="15"/>
      <c r="OG47" s="15"/>
      <c r="OH47" s="15"/>
      <c r="OI47" s="61">
        <f t="shared" si="163"/>
        <v>0</v>
      </c>
      <c r="OJ47" s="66">
        <f t="shared" si="132"/>
        <v>0</v>
      </c>
      <c r="OK47" s="12">
        <f t="shared" si="133"/>
        <v>0</v>
      </c>
      <c r="OL47" s="12">
        <f t="shared" si="134"/>
        <v>0</v>
      </c>
      <c r="OM47" s="12">
        <f t="shared" si="135"/>
        <v>0</v>
      </c>
      <c r="ON47" s="16">
        <f t="shared" si="136"/>
        <v>0</v>
      </c>
      <c r="OO47" s="59">
        <f t="shared" si="137"/>
        <v>0</v>
      </c>
      <c r="OP47" s="134"/>
      <c r="OQ47" s="133"/>
      <c r="OR47" s="15"/>
      <c r="OS47" s="15"/>
      <c r="OT47" s="15"/>
      <c r="OU47" s="15"/>
      <c r="OV47" s="15"/>
      <c r="OW47" s="61">
        <f t="shared" si="138"/>
        <v>0</v>
      </c>
      <c r="OX47" s="66">
        <f t="shared" si="139"/>
        <v>0</v>
      </c>
      <c r="OY47" s="12">
        <f t="shared" si="140"/>
        <v>0</v>
      </c>
      <c r="OZ47" s="12">
        <f t="shared" si="141"/>
        <v>0</v>
      </c>
      <c r="PA47" s="12">
        <f t="shared" si="142"/>
        <v>0</v>
      </c>
      <c r="PB47" s="16">
        <f t="shared" si="143"/>
        <v>0</v>
      </c>
      <c r="PC47" s="59">
        <f t="shared" si="144"/>
        <v>0</v>
      </c>
      <c r="PD47" s="134"/>
      <c r="PE47" s="133"/>
      <c r="PF47" s="15"/>
      <c r="PG47" s="15"/>
      <c r="PH47" s="15"/>
      <c r="PI47" s="15"/>
      <c r="PJ47" s="15"/>
      <c r="PK47" s="61">
        <f t="shared" si="145"/>
        <v>0</v>
      </c>
      <c r="PL47" s="66">
        <f t="shared" si="174"/>
        <v>0</v>
      </c>
      <c r="PM47" s="12">
        <f t="shared" si="175"/>
        <v>0</v>
      </c>
      <c r="PN47" s="12">
        <f t="shared" si="176"/>
        <v>0</v>
      </c>
      <c r="PO47" s="12">
        <f t="shared" si="177"/>
        <v>0</v>
      </c>
      <c r="PP47" s="16">
        <f t="shared" si="178"/>
        <v>0</v>
      </c>
      <c r="PQ47" s="59">
        <f t="shared" si="150"/>
        <v>0</v>
      </c>
      <c r="PS47" s="884">
        <f t="shared" si="151"/>
        <v>0</v>
      </c>
    </row>
    <row r="48" spans="2:435" x14ac:dyDescent="0.2">
      <c r="B48" s="24">
        <v>36</v>
      </c>
      <c r="C48" s="872" t="s">
        <v>292</v>
      </c>
      <c r="D48" s="26"/>
      <c r="E48" s="42"/>
      <c r="F48" s="31"/>
      <c r="G48" s="12"/>
      <c r="H48" s="12"/>
      <c r="I48" s="12"/>
      <c r="J48" s="12"/>
      <c r="K48" s="12"/>
      <c r="L48" s="15"/>
      <c r="M48" s="61"/>
      <c r="N48" s="31"/>
      <c r="O48" s="12"/>
      <c r="P48" s="12"/>
      <c r="Q48" s="12"/>
      <c r="R48" s="12"/>
      <c r="S48" s="12"/>
      <c r="T48" s="15"/>
      <c r="U48" s="59"/>
      <c r="V48" s="26"/>
      <c r="W48" s="42"/>
      <c r="X48" s="31"/>
      <c r="Y48" s="12"/>
      <c r="Z48" s="12"/>
      <c r="AA48" s="12"/>
      <c r="AB48" s="12"/>
      <c r="AC48" s="12"/>
      <c r="AD48" s="15"/>
      <c r="AE48" s="15"/>
      <c r="AF48" s="61"/>
      <c r="AG48" s="35"/>
      <c r="AH48" s="35"/>
      <c r="AI48" s="35"/>
      <c r="AJ48" s="35"/>
      <c r="AK48" s="35"/>
      <c r="AL48" s="35"/>
      <c r="AM48" s="35"/>
      <c r="AN48" s="35"/>
      <c r="AO48" s="62"/>
      <c r="AP48" s="26"/>
      <c r="AQ48" s="42"/>
      <c r="AR48" s="12"/>
      <c r="AS48" s="12"/>
      <c r="AT48" s="12"/>
      <c r="AU48" s="12"/>
      <c r="AV48" s="15"/>
      <c r="AW48" s="15"/>
      <c r="AX48" s="61"/>
      <c r="AY48" s="35"/>
      <c r="AZ48" s="35"/>
      <c r="BA48" s="35"/>
      <c r="BB48" s="35"/>
      <c r="BC48" s="35"/>
      <c r="BD48" s="34"/>
      <c r="BE48" s="59"/>
      <c r="BF48" s="26"/>
      <c r="BG48" s="42"/>
      <c r="BH48" s="12"/>
      <c r="BI48" s="12"/>
      <c r="BJ48" s="12"/>
      <c r="BK48" s="12"/>
      <c r="BL48" s="15"/>
      <c r="BM48" s="15"/>
      <c r="BN48" s="15"/>
      <c r="BO48" s="61"/>
      <c r="BP48" s="65"/>
      <c r="BQ48" s="33"/>
      <c r="BR48" s="33"/>
      <c r="BS48" s="33"/>
      <c r="BT48" s="33"/>
      <c r="BU48" s="33"/>
      <c r="BV48" s="34"/>
      <c r="BW48" s="59"/>
      <c r="BX48" s="27"/>
      <c r="BY48" s="68"/>
      <c r="BZ48" s="31"/>
      <c r="CA48" s="12"/>
      <c r="CB48" s="12"/>
      <c r="CC48" s="12"/>
      <c r="CD48" s="15"/>
      <c r="CE48" s="15"/>
      <c r="CF48" s="15"/>
      <c r="CG48" s="61"/>
      <c r="CH48" s="66"/>
      <c r="CI48" s="12"/>
      <c r="CJ48" s="12"/>
      <c r="CK48" s="12"/>
      <c r="CL48" s="12"/>
      <c r="CM48" s="12"/>
      <c r="CN48" s="16"/>
      <c r="CO48" s="59"/>
      <c r="CP48" s="27"/>
      <c r="CQ48" s="68"/>
      <c r="CR48" s="12"/>
      <c r="CS48" s="12"/>
      <c r="CT48" s="12"/>
      <c r="CU48" s="12"/>
      <c r="CV48" s="15"/>
      <c r="CW48" s="15"/>
      <c r="CX48" s="15"/>
      <c r="CY48" s="61"/>
      <c r="CZ48" s="66"/>
      <c r="DA48" s="12"/>
      <c r="DB48" s="12"/>
      <c r="DC48" s="12"/>
      <c r="DD48" s="12"/>
      <c r="DE48" s="12"/>
      <c r="DF48" s="16"/>
      <c r="DG48" s="59"/>
      <c r="DH48" s="27"/>
      <c r="DI48" s="68"/>
      <c r="DJ48" s="12"/>
      <c r="DK48" s="12"/>
      <c r="DL48" s="12"/>
      <c r="DM48" s="12"/>
      <c r="DN48" s="15"/>
      <c r="DO48" s="15"/>
      <c r="DP48" s="15"/>
      <c r="DQ48" s="61"/>
      <c r="DR48" s="66"/>
      <c r="DS48" s="12"/>
      <c r="DT48" s="12"/>
      <c r="DU48" s="12"/>
      <c r="DV48" s="12"/>
      <c r="DW48" s="12"/>
      <c r="DX48" s="16"/>
      <c r="DY48" s="59"/>
      <c r="DZ48" s="27"/>
      <c r="EA48" s="68"/>
      <c r="EB48" s="12"/>
      <c r="EC48" s="12"/>
      <c r="ED48" s="12"/>
      <c r="EE48" s="15"/>
      <c r="EF48" s="15"/>
      <c r="EG48" s="15"/>
      <c r="EH48" s="61"/>
      <c r="EI48" s="66"/>
      <c r="EJ48" s="12"/>
      <c r="EK48" s="12"/>
      <c r="EL48" s="12"/>
      <c r="EM48" s="12"/>
      <c r="EN48" s="16"/>
      <c r="EO48" s="59"/>
      <c r="EP48" s="27"/>
      <c r="EQ48" s="68"/>
      <c r="ER48" s="12"/>
      <c r="ES48" s="12"/>
      <c r="ET48" s="15"/>
      <c r="EU48" s="15"/>
      <c r="EV48" s="61"/>
      <c r="EW48" s="66"/>
      <c r="EX48" s="12"/>
      <c r="EY48" s="12"/>
      <c r="EZ48" s="16"/>
      <c r="FA48" s="59"/>
      <c r="FB48" s="27"/>
      <c r="FC48" s="68"/>
      <c r="FD48" s="12"/>
      <c r="FE48" s="15"/>
      <c r="FF48" s="15"/>
      <c r="FG48" s="61"/>
      <c r="FH48" s="66"/>
      <c r="FI48" s="12"/>
      <c r="FJ48" s="16"/>
      <c r="FK48" s="59"/>
      <c r="FL48" s="27"/>
      <c r="FM48" s="68"/>
      <c r="FN48" s="12"/>
      <c r="FO48" s="15"/>
      <c r="FP48" s="15"/>
      <c r="FQ48" s="15"/>
      <c r="FR48" s="15"/>
      <c r="FS48" s="61"/>
      <c r="FT48" s="66"/>
      <c r="FU48" s="12"/>
      <c r="FV48" s="12"/>
      <c r="FW48" s="12"/>
      <c r="FX48" s="16"/>
      <c r="FY48" s="59"/>
      <c r="FZ48" s="27"/>
      <c r="GA48" s="68"/>
      <c r="GB48" s="12"/>
      <c r="GC48" s="15"/>
      <c r="GD48" s="15"/>
      <c r="GE48" s="15"/>
      <c r="GF48" s="61"/>
      <c r="GG48" s="66"/>
      <c r="GH48" s="66"/>
      <c r="GI48" s="12"/>
      <c r="GJ48" s="12"/>
      <c r="GK48" s="31"/>
      <c r="GL48" s="123"/>
      <c r="GM48" s="410"/>
      <c r="GN48" s="414"/>
      <c r="GO48" s="68"/>
      <c r="GP48" s="12"/>
      <c r="GQ48" s="15"/>
      <c r="GR48" s="15"/>
      <c r="GS48" s="15"/>
      <c r="GT48" s="15"/>
      <c r="GU48" s="61"/>
      <c r="GV48" s="66"/>
      <c r="GW48" s="12"/>
      <c r="GX48" s="12"/>
      <c r="GY48" s="12"/>
      <c r="GZ48" s="16"/>
      <c r="HA48" s="59"/>
      <c r="HB48" s="27"/>
      <c r="HC48" s="68"/>
      <c r="HD48" s="12"/>
      <c r="HE48" s="15"/>
      <c r="HF48" s="15"/>
      <c r="HG48" s="15"/>
      <c r="HH48" s="15"/>
      <c r="HI48" s="15"/>
      <c r="HJ48" s="15"/>
      <c r="HK48" s="15"/>
      <c r="HL48" s="61"/>
      <c r="HM48" s="66"/>
      <c r="HN48" s="12"/>
      <c r="HO48" s="12"/>
      <c r="HP48" s="12"/>
      <c r="HQ48" s="12"/>
      <c r="HR48" s="12"/>
      <c r="HS48" s="12"/>
      <c r="HT48" s="16"/>
      <c r="HU48" s="59"/>
      <c r="HV48" s="27"/>
      <c r="HW48" s="68"/>
      <c r="HX48" s="12"/>
      <c r="HY48" s="15"/>
      <c r="HZ48" s="61"/>
      <c r="IA48" s="66"/>
      <c r="IB48" s="16"/>
      <c r="IC48" s="59"/>
      <c r="ID48" s="27"/>
      <c r="IE48" s="68"/>
      <c r="IF48" s="12"/>
      <c r="IG48" s="15"/>
      <c r="IH48" s="15"/>
      <c r="II48" s="15"/>
      <c r="IJ48" s="15"/>
      <c r="IK48" s="15"/>
      <c r="IL48" s="15"/>
      <c r="IM48" s="15"/>
      <c r="IN48" s="15"/>
      <c r="IO48" s="61"/>
      <c r="IP48" s="66"/>
      <c r="IQ48" s="12"/>
      <c r="IR48" s="12"/>
      <c r="IS48" s="12"/>
      <c r="IT48" s="12"/>
      <c r="IU48" s="12"/>
      <c r="IV48" s="12"/>
      <c r="IW48" s="15"/>
      <c r="IX48" s="16"/>
      <c r="IY48" s="59"/>
      <c r="IZ48" s="27"/>
      <c r="JA48" s="68"/>
      <c r="JB48" s="12"/>
      <c r="JC48" s="15"/>
      <c r="JD48" s="15"/>
      <c r="JE48" s="15"/>
      <c r="JF48" s="15"/>
      <c r="JG48" s="15"/>
      <c r="JH48" s="15"/>
      <c r="JI48" s="15"/>
      <c r="JJ48" s="15"/>
      <c r="JK48" s="61"/>
      <c r="JL48" s="66"/>
      <c r="JM48" s="12"/>
      <c r="JN48" s="12"/>
      <c r="JO48" s="12"/>
      <c r="JP48" s="12"/>
      <c r="JQ48" s="12"/>
      <c r="JR48" s="12"/>
      <c r="JS48" s="12"/>
      <c r="JT48" s="16"/>
      <c r="JU48" s="59"/>
      <c r="JV48" s="27"/>
      <c r="JW48" s="68"/>
      <c r="JX48" s="12"/>
      <c r="JY48" s="12"/>
      <c r="JZ48" s="15"/>
      <c r="KA48" s="15"/>
      <c r="KB48" s="15"/>
      <c r="KC48" s="15"/>
      <c r="KD48" s="15"/>
      <c r="KE48" s="15"/>
      <c r="KF48" s="15"/>
      <c r="KG48" s="61"/>
      <c r="KH48" s="146"/>
      <c r="KI48" s="12"/>
      <c r="KJ48" s="12"/>
      <c r="KK48" s="12"/>
      <c r="KL48" s="12"/>
      <c r="KM48" s="12"/>
      <c r="KN48" s="12"/>
      <c r="KO48" s="12"/>
      <c r="KP48" s="16"/>
      <c r="KQ48" s="59"/>
      <c r="KR48" s="27"/>
      <c r="KS48" s="68"/>
      <c r="KT48" s="12"/>
      <c r="KU48" s="15"/>
      <c r="KV48" s="15"/>
      <c r="KW48" s="15"/>
      <c r="KX48" s="15"/>
      <c r="KY48" s="15"/>
      <c r="KZ48" s="15"/>
      <c r="LA48" s="15"/>
      <c r="LB48" s="61"/>
      <c r="LC48" s="66"/>
      <c r="LD48" s="12"/>
      <c r="LE48" s="12"/>
      <c r="LF48" s="12"/>
      <c r="LG48" s="12"/>
      <c r="LH48" s="12"/>
      <c r="LI48" s="12"/>
      <c r="LJ48" s="16"/>
      <c r="LK48" s="59"/>
      <c r="LL48" s="27"/>
      <c r="LM48" s="68"/>
      <c r="LN48" s="15"/>
      <c r="LO48" s="15"/>
      <c r="LP48" s="15"/>
      <c r="LQ48" s="15"/>
      <c r="LR48" s="15"/>
      <c r="LS48" s="15"/>
      <c r="LT48" s="15"/>
      <c r="LU48" s="61"/>
      <c r="LV48" s="66"/>
      <c r="LW48" s="12"/>
      <c r="LX48" s="12"/>
      <c r="LY48" s="12"/>
      <c r="LZ48" s="12"/>
      <c r="MA48" s="12"/>
      <c r="MB48" s="16"/>
      <c r="MC48" s="59"/>
      <c r="MD48" s="27"/>
      <c r="ME48" s="68"/>
      <c r="MF48" s="15"/>
      <c r="MG48" s="15"/>
      <c r="MH48" s="15"/>
      <c r="MI48" s="15"/>
      <c r="MJ48" s="15"/>
      <c r="MK48" s="15"/>
      <c r="ML48" s="15"/>
      <c r="MM48" s="61">
        <f t="shared" si="111"/>
        <v>0</v>
      </c>
      <c r="MN48" s="66"/>
      <c r="MO48" s="12"/>
      <c r="MP48" s="12"/>
      <c r="MQ48" s="12"/>
      <c r="MR48" s="12"/>
      <c r="MS48" s="12"/>
      <c r="MT48" s="16"/>
      <c r="MU48" s="59"/>
      <c r="MV48" s="622">
        <v>22500</v>
      </c>
      <c r="MW48" s="619">
        <v>0.5</v>
      </c>
      <c r="MX48" s="15"/>
      <c r="MY48" s="15"/>
      <c r="MZ48" s="15"/>
      <c r="NA48" s="15"/>
      <c r="NB48" s="15"/>
      <c r="NC48" s="15"/>
      <c r="ND48" s="15"/>
      <c r="NE48" s="61">
        <f t="shared" si="118"/>
        <v>0.5</v>
      </c>
      <c r="NF48" s="66">
        <f t="shared" si="302"/>
        <v>0</v>
      </c>
      <c r="NG48" s="12">
        <f t="shared" si="302"/>
        <v>0</v>
      </c>
      <c r="NH48" s="12"/>
      <c r="NI48" s="12">
        <f t="shared" si="302"/>
        <v>0</v>
      </c>
      <c r="NJ48" s="12">
        <f t="shared" si="302"/>
        <v>0</v>
      </c>
      <c r="NK48" s="12">
        <f t="shared" si="302"/>
        <v>0</v>
      </c>
      <c r="NL48" s="16">
        <f t="shared" si="302"/>
        <v>0</v>
      </c>
      <c r="NM48" s="59">
        <f t="shared" si="125"/>
        <v>22500</v>
      </c>
      <c r="NN48" s="622">
        <v>22500</v>
      </c>
      <c r="NO48" s="619">
        <v>0.5</v>
      </c>
      <c r="NP48" s="15"/>
      <c r="NQ48" s="15">
        <v>0.2</v>
      </c>
      <c r="NR48" s="15"/>
      <c r="NS48" s="15"/>
      <c r="NT48" s="15"/>
      <c r="NU48" s="61">
        <f t="shared" si="126"/>
        <v>0.3</v>
      </c>
      <c r="NV48" s="66">
        <f t="shared" si="190"/>
        <v>0</v>
      </c>
      <c r="NW48" s="12">
        <f t="shared" si="209"/>
        <v>9000</v>
      </c>
      <c r="NX48" s="12">
        <f t="shared" si="210"/>
        <v>0</v>
      </c>
      <c r="NY48" s="12">
        <f t="shared" si="211"/>
        <v>0</v>
      </c>
      <c r="NZ48" s="16">
        <f t="shared" si="212"/>
        <v>0</v>
      </c>
      <c r="OA48" s="59">
        <f t="shared" si="131"/>
        <v>13500</v>
      </c>
      <c r="OB48" s="616">
        <v>22500</v>
      </c>
      <c r="OC48" s="133">
        <v>0.5</v>
      </c>
      <c r="OD48" s="15"/>
      <c r="OE48" s="15">
        <v>0.2</v>
      </c>
      <c r="OF48" s="15"/>
      <c r="OG48" s="15"/>
      <c r="OH48" s="15"/>
      <c r="OI48" s="61">
        <f t="shared" si="163"/>
        <v>0.3</v>
      </c>
      <c r="OJ48" s="66">
        <f t="shared" si="132"/>
        <v>0</v>
      </c>
      <c r="OK48" s="12">
        <f t="shared" si="133"/>
        <v>9000</v>
      </c>
      <c r="OL48" s="12">
        <f t="shared" si="134"/>
        <v>0</v>
      </c>
      <c r="OM48" s="12">
        <f t="shared" si="135"/>
        <v>0</v>
      </c>
      <c r="ON48" s="16">
        <f t="shared" si="136"/>
        <v>0</v>
      </c>
      <c r="OO48" s="59">
        <f t="shared" si="137"/>
        <v>13500</v>
      </c>
      <c r="OP48" s="616">
        <v>22500</v>
      </c>
      <c r="OQ48" s="133">
        <v>0.5</v>
      </c>
      <c r="OR48" s="15"/>
      <c r="OS48" s="15">
        <v>0.25</v>
      </c>
      <c r="OT48" s="15"/>
      <c r="OU48" s="15"/>
      <c r="OV48" s="15"/>
      <c r="OW48" s="61">
        <f t="shared" si="138"/>
        <v>0.25</v>
      </c>
      <c r="OX48" s="66">
        <f t="shared" si="139"/>
        <v>0</v>
      </c>
      <c r="OY48" s="12">
        <f t="shared" si="140"/>
        <v>11250</v>
      </c>
      <c r="OZ48" s="12">
        <f t="shared" si="141"/>
        <v>0</v>
      </c>
      <c r="PA48" s="12">
        <f t="shared" si="142"/>
        <v>0</v>
      </c>
      <c r="PB48" s="16">
        <f t="shared" si="143"/>
        <v>0</v>
      </c>
      <c r="PC48" s="59">
        <f t="shared" si="144"/>
        <v>11250</v>
      </c>
      <c r="PD48" s="616">
        <v>22500</v>
      </c>
      <c r="PE48" s="133">
        <v>0.5</v>
      </c>
      <c r="PF48" s="15"/>
      <c r="PG48" s="15"/>
      <c r="PH48" s="15"/>
      <c r="PI48" s="15"/>
      <c r="PJ48" s="15"/>
      <c r="PK48" s="61">
        <f t="shared" si="145"/>
        <v>0.5</v>
      </c>
      <c r="PL48" s="66">
        <f t="shared" si="174"/>
        <v>0</v>
      </c>
      <c r="PM48" s="12">
        <f t="shared" si="175"/>
        <v>0</v>
      </c>
      <c r="PN48" s="12">
        <f t="shared" si="176"/>
        <v>0</v>
      </c>
      <c r="PO48" s="12">
        <f t="shared" si="177"/>
        <v>0</v>
      </c>
      <c r="PP48" s="16">
        <f t="shared" si="178"/>
        <v>0</v>
      </c>
      <c r="PQ48" s="59">
        <f t="shared" si="150"/>
        <v>22500</v>
      </c>
      <c r="PS48" s="884">
        <f t="shared" si="151"/>
        <v>0</v>
      </c>
    </row>
    <row r="49" spans="2:435" x14ac:dyDescent="0.2">
      <c r="B49" s="24">
        <v>37</v>
      </c>
      <c r="C49" s="872" t="s">
        <v>296</v>
      </c>
      <c r="D49" s="26"/>
      <c r="E49" s="42"/>
      <c r="F49" s="31"/>
      <c r="G49" s="12"/>
      <c r="H49" s="12"/>
      <c r="I49" s="12"/>
      <c r="J49" s="12"/>
      <c r="K49" s="12"/>
      <c r="L49" s="15"/>
      <c r="M49" s="61"/>
      <c r="N49" s="31"/>
      <c r="O49" s="12"/>
      <c r="P49" s="12"/>
      <c r="Q49" s="12"/>
      <c r="R49" s="12"/>
      <c r="S49" s="12"/>
      <c r="T49" s="15"/>
      <c r="U49" s="59"/>
      <c r="V49" s="26"/>
      <c r="W49" s="42"/>
      <c r="X49" s="31"/>
      <c r="Y49" s="12"/>
      <c r="Z49" s="12"/>
      <c r="AA49" s="12"/>
      <c r="AB49" s="12"/>
      <c r="AC49" s="12"/>
      <c r="AD49" s="15"/>
      <c r="AE49" s="15"/>
      <c r="AF49" s="61"/>
      <c r="AG49" s="35"/>
      <c r="AH49" s="35"/>
      <c r="AI49" s="35"/>
      <c r="AJ49" s="35"/>
      <c r="AK49" s="35"/>
      <c r="AL49" s="35"/>
      <c r="AM49" s="35"/>
      <c r="AN49" s="35"/>
      <c r="AO49" s="62"/>
      <c r="AP49" s="26"/>
      <c r="AQ49" s="42"/>
      <c r="AR49" s="12"/>
      <c r="AS49" s="12"/>
      <c r="AT49" s="12"/>
      <c r="AU49" s="12"/>
      <c r="AV49" s="15"/>
      <c r="AW49" s="15"/>
      <c r="AX49" s="61"/>
      <c r="AY49" s="35"/>
      <c r="AZ49" s="35"/>
      <c r="BA49" s="35"/>
      <c r="BB49" s="35"/>
      <c r="BC49" s="35"/>
      <c r="BD49" s="34"/>
      <c r="BE49" s="59"/>
      <c r="BF49" s="26"/>
      <c r="BG49" s="42"/>
      <c r="BH49" s="12"/>
      <c r="BI49" s="12"/>
      <c r="BJ49" s="12"/>
      <c r="BK49" s="12"/>
      <c r="BL49" s="15"/>
      <c r="BM49" s="15"/>
      <c r="BN49" s="15"/>
      <c r="BO49" s="61"/>
      <c r="BP49" s="65"/>
      <c r="BQ49" s="33"/>
      <c r="BR49" s="33"/>
      <c r="BS49" s="33"/>
      <c r="BT49" s="33"/>
      <c r="BU49" s="33"/>
      <c r="BV49" s="34"/>
      <c r="BW49" s="59"/>
      <c r="BX49" s="27"/>
      <c r="BY49" s="68"/>
      <c r="BZ49" s="31"/>
      <c r="CA49" s="12"/>
      <c r="CB49" s="12"/>
      <c r="CC49" s="12"/>
      <c r="CD49" s="15"/>
      <c r="CE49" s="15"/>
      <c r="CF49" s="15"/>
      <c r="CG49" s="61"/>
      <c r="CH49" s="66"/>
      <c r="CI49" s="12"/>
      <c r="CJ49" s="12"/>
      <c r="CK49" s="12"/>
      <c r="CL49" s="12"/>
      <c r="CM49" s="12"/>
      <c r="CN49" s="16"/>
      <c r="CO49" s="59"/>
      <c r="CP49" s="27"/>
      <c r="CQ49" s="68"/>
      <c r="CR49" s="12"/>
      <c r="CS49" s="12"/>
      <c r="CT49" s="12"/>
      <c r="CU49" s="12"/>
      <c r="CV49" s="15"/>
      <c r="CW49" s="15"/>
      <c r="CX49" s="15"/>
      <c r="CY49" s="61"/>
      <c r="CZ49" s="66"/>
      <c r="DA49" s="12"/>
      <c r="DB49" s="12"/>
      <c r="DC49" s="12"/>
      <c r="DD49" s="12"/>
      <c r="DE49" s="12"/>
      <c r="DF49" s="16"/>
      <c r="DG49" s="59"/>
      <c r="DH49" s="27"/>
      <c r="DI49" s="68"/>
      <c r="DJ49" s="12"/>
      <c r="DK49" s="12"/>
      <c r="DL49" s="12"/>
      <c r="DM49" s="12"/>
      <c r="DN49" s="15"/>
      <c r="DO49" s="15"/>
      <c r="DP49" s="15"/>
      <c r="DQ49" s="61"/>
      <c r="DR49" s="66"/>
      <c r="DS49" s="12"/>
      <c r="DT49" s="12"/>
      <c r="DU49" s="12"/>
      <c r="DV49" s="12"/>
      <c r="DW49" s="12"/>
      <c r="DX49" s="16"/>
      <c r="DY49" s="59"/>
      <c r="DZ49" s="27"/>
      <c r="EA49" s="68"/>
      <c r="EB49" s="12"/>
      <c r="EC49" s="12"/>
      <c r="ED49" s="12"/>
      <c r="EE49" s="15"/>
      <c r="EF49" s="15"/>
      <c r="EG49" s="15"/>
      <c r="EH49" s="61"/>
      <c r="EI49" s="66"/>
      <c r="EJ49" s="12"/>
      <c r="EK49" s="12"/>
      <c r="EL49" s="12"/>
      <c r="EM49" s="12"/>
      <c r="EN49" s="16"/>
      <c r="EO49" s="59"/>
      <c r="EP49" s="27"/>
      <c r="EQ49" s="68"/>
      <c r="ER49" s="12"/>
      <c r="ES49" s="12"/>
      <c r="ET49" s="15"/>
      <c r="EU49" s="15"/>
      <c r="EV49" s="61"/>
      <c r="EW49" s="66"/>
      <c r="EX49" s="12"/>
      <c r="EY49" s="12"/>
      <c r="EZ49" s="16"/>
      <c r="FA49" s="59"/>
      <c r="FB49" s="27"/>
      <c r="FC49" s="68"/>
      <c r="FD49" s="12"/>
      <c r="FE49" s="15"/>
      <c r="FF49" s="15"/>
      <c r="FG49" s="61"/>
      <c r="FH49" s="66"/>
      <c r="FI49" s="12"/>
      <c r="FJ49" s="16"/>
      <c r="FK49" s="59"/>
      <c r="FL49" s="27"/>
      <c r="FM49" s="68"/>
      <c r="FN49" s="12"/>
      <c r="FO49" s="15"/>
      <c r="FP49" s="15"/>
      <c r="FQ49" s="15"/>
      <c r="FR49" s="15"/>
      <c r="FS49" s="61"/>
      <c r="FT49" s="66"/>
      <c r="FU49" s="12"/>
      <c r="FV49" s="12"/>
      <c r="FW49" s="12"/>
      <c r="FX49" s="16"/>
      <c r="FY49" s="59"/>
      <c r="FZ49" s="27"/>
      <c r="GA49" s="68"/>
      <c r="GB49" s="12"/>
      <c r="GC49" s="15"/>
      <c r="GD49" s="15"/>
      <c r="GE49" s="15"/>
      <c r="GF49" s="61"/>
      <c r="GG49" s="66"/>
      <c r="GH49" s="66"/>
      <c r="GI49" s="12"/>
      <c r="GJ49" s="12"/>
      <c r="GK49" s="31"/>
      <c r="GL49" s="123"/>
      <c r="GM49" s="410"/>
      <c r="GN49" s="414"/>
      <c r="GO49" s="68"/>
      <c r="GP49" s="12"/>
      <c r="GQ49" s="15"/>
      <c r="GR49" s="15"/>
      <c r="GS49" s="15"/>
      <c r="GT49" s="15"/>
      <c r="GU49" s="61"/>
      <c r="GV49" s="66"/>
      <c r="GW49" s="12"/>
      <c r="GX49" s="12"/>
      <c r="GY49" s="12"/>
      <c r="GZ49" s="16"/>
      <c r="HA49" s="59"/>
      <c r="HB49" s="27"/>
      <c r="HC49" s="68"/>
      <c r="HD49" s="12"/>
      <c r="HE49" s="15"/>
      <c r="HF49" s="15"/>
      <c r="HG49" s="15"/>
      <c r="HH49" s="15"/>
      <c r="HI49" s="15"/>
      <c r="HJ49" s="15"/>
      <c r="HK49" s="15"/>
      <c r="HL49" s="61"/>
      <c r="HM49" s="66"/>
      <c r="HN49" s="12"/>
      <c r="HO49" s="12"/>
      <c r="HP49" s="12"/>
      <c r="HQ49" s="12"/>
      <c r="HR49" s="12"/>
      <c r="HS49" s="12"/>
      <c r="HT49" s="16"/>
      <c r="HU49" s="59"/>
      <c r="HV49" s="27"/>
      <c r="HW49" s="68"/>
      <c r="HX49" s="12"/>
      <c r="HY49" s="15"/>
      <c r="HZ49" s="61"/>
      <c r="IA49" s="66"/>
      <c r="IB49" s="16"/>
      <c r="IC49" s="59"/>
      <c r="ID49" s="27"/>
      <c r="IE49" s="68"/>
      <c r="IF49" s="12"/>
      <c r="IG49" s="15"/>
      <c r="IH49" s="15"/>
      <c r="II49" s="15"/>
      <c r="IJ49" s="15"/>
      <c r="IK49" s="15"/>
      <c r="IL49" s="15"/>
      <c r="IM49" s="15"/>
      <c r="IN49" s="15"/>
      <c r="IO49" s="61"/>
      <c r="IP49" s="66"/>
      <c r="IQ49" s="12"/>
      <c r="IR49" s="12"/>
      <c r="IS49" s="12"/>
      <c r="IT49" s="12"/>
      <c r="IU49" s="12"/>
      <c r="IV49" s="12"/>
      <c r="IW49" s="15"/>
      <c r="IX49" s="16"/>
      <c r="IY49" s="59"/>
      <c r="IZ49" s="27"/>
      <c r="JA49" s="68"/>
      <c r="JB49" s="12"/>
      <c r="JC49" s="15"/>
      <c r="JD49" s="15"/>
      <c r="JE49" s="15"/>
      <c r="JF49" s="15"/>
      <c r="JG49" s="15"/>
      <c r="JH49" s="15"/>
      <c r="JI49" s="15"/>
      <c r="JJ49" s="15"/>
      <c r="JK49" s="61"/>
      <c r="JL49" s="66"/>
      <c r="JM49" s="12"/>
      <c r="JN49" s="12"/>
      <c r="JO49" s="12"/>
      <c r="JP49" s="12"/>
      <c r="JQ49" s="12"/>
      <c r="JR49" s="12"/>
      <c r="JS49" s="12"/>
      <c r="JT49" s="16"/>
      <c r="JU49" s="59"/>
      <c r="JV49" s="27"/>
      <c r="JW49" s="68"/>
      <c r="JX49" s="12"/>
      <c r="JY49" s="12"/>
      <c r="JZ49" s="15"/>
      <c r="KA49" s="15"/>
      <c r="KB49" s="15"/>
      <c r="KC49" s="15"/>
      <c r="KD49" s="15"/>
      <c r="KE49" s="15"/>
      <c r="KF49" s="15"/>
      <c r="KG49" s="61"/>
      <c r="KH49" s="146"/>
      <c r="KI49" s="12"/>
      <c r="KJ49" s="12"/>
      <c r="KK49" s="12"/>
      <c r="KL49" s="12"/>
      <c r="KM49" s="12"/>
      <c r="KN49" s="12"/>
      <c r="KO49" s="12"/>
      <c r="KP49" s="16"/>
      <c r="KQ49" s="59"/>
      <c r="KR49" s="27"/>
      <c r="KS49" s="68"/>
      <c r="KT49" s="12"/>
      <c r="KU49" s="15"/>
      <c r="KV49" s="15"/>
      <c r="KW49" s="15"/>
      <c r="KX49" s="15"/>
      <c r="KY49" s="15"/>
      <c r="KZ49" s="15"/>
      <c r="LA49" s="15"/>
      <c r="LB49" s="61"/>
      <c r="LC49" s="66"/>
      <c r="LD49" s="12"/>
      <c r="LE49" s="12"/>
      <c r="LF49" s="12"/>
      <c r="LG49" s="12"/>
      <c r="LH49" s="12"/>
      <c r="LI49" s="12"/>
      <c r="LJ49" s="16"/>
      <c r="LK49" s="59"/>
      <c r="LL49" s="27"/>
      <c r="LM49" s="68"/>
      <c r="LN49" s="15"/>
      <c r="LO49" s="15"/>
      <c r="LP49" s="15"/>
      <c r="LQ49" s="15"/>
      <c r="LR49" s="15"/>
      <c r="LS49" s="15"/>
      <c r="LT49" s="15"/>
      <c r="LU49" s="61"/>
      <c r="LV49" s="66"/>
      <c r="LW49" s="12"/>
      <c r="LX49" s="12"/>
      <c r="LY49" s="12"/>
      <c r="LZ49" s="12"/>
      <c r="MA49" s="12"/>
      <c r="MB49" s="16"/>
      <c r="MC49" s="59"/>
      <c r="MD49" s="27"/>
      <c r="ME49" s="68"/>
      <c r="MF49" s="15"/>
      <c r="MG49" s="15"/>
      <c r="MH49" s="15"/>
      <c r="MI49" s="15"/>
      <c r="MJ49" s="15"/>
      <c r="MK49" s="15"/>
      <c r="ML49" s="15"/>
      <c r="MM49" s="61">
        <f t="shared" si="111"/>
        <v>0</v>
      </c>
      <c r="MN49" s="66"/>
      <c r="MO49" s="12"/>
      <c r="MP49" s="12"/>
      <c r="MQ49" s="12"/>
      <c r="MR49" s="12"/>
      <c r="MS49" s="12"/>
      <c r="MT49" s="16"/>
      <c r="MU49" s="59"/>
      <c r="MV49" s="622">
        <v>12500</v>
      </c>
      <c r="MW49" s="619">
        <v>0.5</v>
      </c>
      <c r="MX49" s="15"/>
      <c r="MY49" s="15"/>
      <c r="MZ49" s="15"/>
      <c r="NA49" s="15"/>
      <c r="NB49" s="15"/>
      <c r="NC49" s="15"/>
      <c r="ND49" s="15"/>
      <c r="NE49" s="61">
        <f t="shared" si="118"/>
        <v>0.5</v>
      </c>
      <c r="NF49" s="66">
        <f t="shared" si="302"/>
        <v>0</v>
      </c>
      <c r="NG49" s="12">
        <f t="shared" si="302"/>
        <v>0</v>
      </c>
      <c r="NH49" s="12"/>
      <c r="NI49" s="12">
        <f t="shared" si="302"/>
        <v>0</v>
      </c>
      <c r="NJ49" s="12">
        <f t="shared" si="302"/>
        <v>0</v>
      </c>
      <c r="NK49" s="12">
        <f t="shared" si="302"/>
        <v>0</v>
      </c>
      <c r="NL49" s="16">
        <f t="shared" si="302"/>
        <v>0</v>
      </c>
      <c r="NM49" s="59">
        <f t="shared" si="125"/>
        <v>12500</v>
      </c>
      <c r="NN49" s="622">
        <v>12500</v>
      </c>
      <c r="NO49" s="619">
        <v>0.5</v>
      </c>
      <c r="NP49" s="15"/>
      <c r="NQ49" s="15"/>
      <c r="NR49" s="15"/>
      <c r="NS49" s="15"/>
      <c r="NT49" s="15"/>
      <c r="NU49" s="61">
        <f t="shared" si="126"/>
        <v>0.5</v>
      </c>
      <c r="NV49" s="66">
        <f t="shared" si="190"/>
        <v>0</v>
      </c>
      <c r="NW49" s="12">
        <f t="shared" si="209"/>
        <v>0</v>
      </c>
      <c r="NX49" s="12">
        <f t="shared" si="210"/>
        <v>0</v>
      </c>
      <c r="NY49" s="12">
        <f t="shared" si="211"/>
        <v>0</v>
      </c>
      <c r="NZ49" s="16">
        <f t="shared" si="212"/>
        <v>0</v>
      </c>
      <c r="OA49" s="59">
        <f t="shared" si="131"/>
        <v>12500</v>
      </c>
      <c r="OB49" s="616">
        <v>12500</v>
      </c>
      <c r="OC49" s="133">
        <v>0.5</v>
      </c>
      <c r="OD49" s="15"/>
      <c r="OE49" s="15"/>
      <c r="OF49" s="15"/>
      <c r="OG49" s="15"/>
      <c r="OH49" s="15"/>
      <c r="OI49" s="61">
        <f t="shared" si="163"/>
        <v>0.5</v>
      </c>
      <c r="OJ49" s="66">
        <f t="shared" si="132"/>
        <v>0</v>
      </c>
      <c r="OK49" s="12">
        <f t="shared" si="133"/>
        <v>0</v>
      </c>
      <c r="OL49" s="12">
        <f t="shared" si="134"/>
        <v>0</v>
      </c>
      <c r="OM49" s="12">
        <f t="shared" si="135"/>
        <v>0</v>
      </c>
      <c r="ON49" s="16">
        <f t="shared" si="136"/>
        <v>0</v>
      </c>
      <c r="OO49" s="59">
        <f t="shared" si="137"/>
        <v>12500</v>
      </c>
      <c r="OP49" s="616">
        <v>12500</v>
      </c>
      <c r="OQ49" s="133">
        <v>0.5</v>
      </c>
      <c r="OR49" s="15"/>
      <c r="OS49" s="15"/>
      <c r="OT49" s="15"/>
      <c r="OU49" s="15"/>
      <c r="OV49" s="15"/>
      <c r="OW49" s="61">
        <f t="shared" si="138"/>
        <v>0.5</v>
      </c>
      <c r="OX49" s="66">
        <f t="shared" si="139"/>
        <v>0</v>
      </c>
      <c r="OY49" s="12">
        <f t="shared" si="140"/>
        <v>0</v>
      </c>
      <c r="OZ49" s="12">
        <f t="shared" si="141"/>
        <v>0</v>
      </c>
      <c r="PA49" s="12">
        <f t="shared" si="142"/>
        <v>0</v>
      </c>
      <c r="PB49" s="16">
        <f t="shared" si="143"/>
        <v>0</v>
      </c>
      <c r="PC49" s="59">
        <f t="shared" si="144"/>
        <v>12500</v>
      </c>
      <c r="PD49" s="616">
        <v>12500</v>
      </c>
      <c r="PE49" s="133">
        <v>0.5</v>
      </c>
      <c r="PF49" s="15"/>
      <c r="PG49" s="15"/>
      <c r="PH49" s="15"/>
      <c r="PI49" s="15"/>
      <c r="PJ49" s="15"/>
      <c r="PK49" s="61">
        <f t="shared" si="145"/>
        <v>0.5</v>
      </c>
      <c r="PL49" s="66">
        <f t="shared" si="174"/>
        <v>0</v>
      </c>
      <c r="PM49" s="12">
        <f t="shared" si="175"/>
        <v>0</v>
      </c>
      <c r="PN49" s="12">
        <f t="shared" si="176"/>
        <v>0</v>
      </c>
      <c r="PO49" s="12">
        <f t="shared" si="177"/>
        <v>0</v>
      </c>
      <c r="PP49" s="16">
        <f t="shared" si="178"/>
        <v>0</v>
      </c>
      <c r="PQ49" s="59">
        <f t="shared" si="150"/>
        <v>12500</v>
      </c>
      <c r="PS49" s="884">
        <f t="shared" si="151"/>
        <v>0</v>
      </c>
    </row>
    <row r="50" spans="2:435" x14ac:dyDescent="0.2">
      <c r="B50" s="24">
        <v>38</v>
      </c>
      <c r="C50" s="25" t="s">
        <v>75</v>
      </c>
      <c r="D50" s="26"/>
      <c r="E50" s="42"/>
      <c r="F50" s="31"/>
      <c r="G50" s="12"/>
      <c r="H50" s="12"/>
      <c r="I50" s="12"/>
      <c r="J50" s="12"/>
      <c r="K50" s="12"/>
      <c r="L50" s="15"/>
      <c r="M50" s="61">
        <f t="shared" si="41"/>
        <v>0</v>
      </c>
      <c r="N50" s="31">
        <f t="shared" si="292"/>
        <v>0</v>
      </c>
      <c r="O50" s="12">
        <f t="shared" si="292"/>
        <v>0</v>
      </c>
      <c r="P50" s="12">
        <f t="shared" si="292"/>
        <v>0</v>
      </c>
      <c r="Q50" s="12">
        <f t="shared" si="292"/>
        <v>0</v>
      </c>
      <c r="R50" s="12">
        <f t="shared" si="292"/>
        <v>0</v>
      </c>
      <c r="S50" s="12">
        <f t="shared" si="292"/>
        <v>0</v>
      </c>
      <c r="T50" s="15">
        <f t="shared" si="292"/>
        <v>0</v>
      </c>
      <c r="U50" s="59">
        <f t="shared" si="191"/>
        <v>0</v>
      </c>
      <c r="V50" s="26"/>
      <c r="W50" s="42"/>
      <c r="X50" s="31"/>
      <c r="Y50" s="12"/>
      <c r="Z50" s="12"/>
      <c r="AA50" s="12"/>
      <c r="AB50" s="12"/>
      <c r="AC50" s="12"/>
      <c r="AD50" s="15"/>
      <c r="AE50" s="15"/>
      <c r="AF50" s="61">
        <f t="shared" si="42"/>
        <v>0</v>
      </c>
      <c r="AG50" s="35">
        <f t="shared" si="43"/>
        <v>0</v>
      </c>
      <c r="AH50" s="35">
        <f t="shared" si="43"/>
        <v>0</v>
      </c>
      <c r="AI50" s="35">
        <f t="shared" si="43"/>
        <v>0</v>
      </c>
      <c r="AJ50" s="35">
        <f t="shared" si="43"/>
        <v>0</v>
      </c>
      <c r="AK50" s="35">
        <f t="shared" si="43"/>
        <v>0</v>
      </c>
      <c r="AL50" s="35">
        <f t="shared" si="43"/>
        <v>0</v>
      </c>
      <c r="AM50" s="35">
        <f t="shared" si="43"/>
        <v>0</v>
      </c>
      <c r="AN50" s="35">
        <f t="shared" si="43"/>
        <v>0</v>
      </c>
      <c r="AO50" s="62">
        <f t="shared" si="44"/>
        <v>0</v>
      </c>
      <c r="AP50" s="26"/>
      <c r="AQ50" s="42"/>
      <c r="AR50" s="12"/>
      <c r="AS50" s="12"/>
      <c r="AT50" s="12"/>
      <c r="AU50" s="12"/>
      <c r="AV50" s="15"/>
      <c r="AW50" s="15"/>
      <c r="AX50" s="61">
        <f t="shared" si="45"/>
        <v>0</v>
      </c>
      <c r="AY50" s="35">
        <f t="shared" si="273"/>
        <v>0</v>
      </c>
      <c r="AZ50" s="35">
        <f t="shared" si="273"/>
        <v>0</v>
      </c>
      <c r="BA50" s="35">
        <f t="shared" si="273"/>
        <v>0</v>
      </c>
      <c r="BB50" s="35">
        <f t="shared" si="273"/>
        <v>0</v>
      </c>
      <c r="BC50" s="35">
        <f t="shared" si="273"/>
        <v>0</v>
      </c>
      <c r="BD50" s="34">
        <f t="shared" si="273"/>
        <v>0</v>
      </c>
      <c r="BE50" s="59">
        <f t="shared" si="46"/>
        <v>0</v>
      </c>
      <c r="BF50" s="26"/>
      <c r="BG50" s="42"/>
      <c r="BH50" s="12"/>
      <c r="BI50" s="12"/>
      <c r="BJ50" s="12"/>
      <c r="BK50" s="12"/>
      <c r="BL50" s="15"/>
      <c r="BM50" s="15"/>
      <c r="BN50" s="15"/>
      <c r="BO50" s="61">
        <f t="shared" si="3"/>
        <v>0</v>
      </c>
      <c r="BP50" s="65">
        <f t="shared" si="274"/>
        <v>0</v>
      </c>
      <c r="BQ50" s="33">
        <f t="shared" si="274"/>
        <v>0</v>
      </c>
      <c r="BR50" s="33">
        <f t="shared" si="274"/>
        <v>0</v>
      </c>
      <c r="BS50" s="33">
        <f t="shared" si="274"/>
        <v>0</v>
      </c>
      <c r="BT50" s="33">
        <f t="shared" si="274"/>
        <v>0</v>
      </c>
      <c r="BU50" s="33">
        <f t="shared" si="274"/>
        <v>0</v>
      </c>
      <c r="BV50" s="34">
        <f t="shared" si="274"/>
        <v>0</v>
      </c>
      <c r="BW50" s="59">
        <f t="shared" si="192"/>
        <v>0</v>
      </c>
      <c r="BX50" s="26"/>
      <c r="BY50" s="68"/>
      <c r="BZ50" s="31"/>
      <c r="CA50" s="12"/>
      <c r="CB50" s="12"/>
      <c r="CC50" s="12"/>
      <c r="CD50" s="15"/>
      <c r="CE50" s="15"/>
      <c r="CF50" s="15"/>
      <c r="CG50" s="61">
        <f t="shared" si="5"/>
        <v>0</v>
      </c>
      <c r="CH50" s="66">
        <f t="shared" si="47"/>
        <v>0</v>
      </c>
      <c r="CI50" s="12">
        <f t="shared" si="47"/>
        <v>0</v>
      </c>
      <c r="CJ50" s="12">
        <f t="shared" si="47"/>
        <v>0</v>
      </c>
      <c r="CK50" s="12">
        <f t="shared" si="47"/>
        <v>0</v>
      </c>
      <c r="CL50" s="12">
        <f t="shared" si="47"/>
        <v>0</v>
      </c>
      <c r="CM50" s="12">
        <f t="shared" si="47"/>
        <v>0</v>
      </c>
      <c r="CN50" s="16">
        <f t="shared" si="47"/>
        <v>0</v>
      </c>
      <c r="CO50" s="59">
        <f t="shared" si="193"/>
        <v>0</v>
      </c>
      <c r="CP50" s="26"/>
      <c r="CQ50" s="68"/>
      <c r="CR50" s="12"/>
      <c r="CS50" s="12"/>
      <c r="CT50" s="12"/>
      <c r="CU50" s="12"/>
      <c r="CV50" s="15"/>
      <c r="CW50" s="15"/>
      <c r="CX50" s="15"/>
      <c r="CY50" s="61">
        <f t="shared" si="7"/>
        <v>0</v>
      </c>
      <c r="CZ50" s="66">
        <f t="shared" si="194"/>
        <v>0</v>
      </c>
      <c r="DA50" s="12">
        <f t="shared" si="194"/>
        <v>0</v>
      </c>
      <c r="DB50" s="12">
        <f t="shared" si="194"/>
        <v>0</v>
      </c>
      <c r="DC50" s="12">
        <f t="shared" si="194"/>
        <v>0</v>
      </c>
      <c r="DD50" s="12">
        <f t="shared" si="194"/>
        <v>0</v>
      </c>
      <c r="DE50" s="12">
        <f t="shared" si="194"/>
        <v>0</v>
      </c>
      <c r="DF50" s="16">
        <f t="shared" si="194"/>
        <v>0</v>
      </c>
      <c r="DG50" s="59">
        <f t="shared" si="195"/>
        <v>0</v>
      </c>
      <c r="DH50" s="26"/>
      <c r="DI50" s="68"/>
      <c r="DJ50" s="12"/>
      <c r="DK50" s="12"/>
      <c r="DL50" s="12"/>
      <c r="DM50" s="12"/>
      <c r="DN50" s="15"/>
      <c r="DO50" s="15"/>
      <c r="DP50" s="15"/>
      <c r="DQ50" s="61">
        <f t="shared" si="9"/>
        <v>0</v>
      </c>
      <c r="DR50" s="66">
        <f t="shared" si="48"/>
        <v>0</v>
      </c>
      <c r="DS50" s="12">
        <f t="shared" si="48"/>
        <v>0</v>
      </c>
      <c r="DT50" s="12">
        <f t="shared" si="48"/>
        <v>0</v>
      </c>
      <c r="DU50" s="12">
        <f t="shared" si="48"/>
        <v>0</v>
      </c>
      <c r="DV50" s="12">
        <f t="shared" si="48"/>
        <v>0</v>
      </c>
      <c r="DW50" s="12">
        <f t="shared" si="48"/>
        <v>0</v>
      </c>
      <c r="DX50" s="16">
        <f t="shared" si="48"/>
        <v>0</v>
      </c>
      <c r="DY50" s="59">
        <f t="shared" si="196"/>
        <v>0</v>
      </c>
      <c r="DZ50" s="26"/>
      <c r="EA50" s="68"/>
      <c r="EB50" s="12"/>
      <c r="EC50" s="12"/>
      <c r="ED50" s="12"/>
      <c r="EE50" s="15"/>
      <c r="EF50" s="15"/>
      <c r="EG50" s="15"/>
      <c r="EH50" s="61">
        <f t="shared" si="197"/>
        <v>0</v>
      </c>
      <c r="EI50" s="66">
        <f t="shared" si="275"/>
        <v>0</v>
      </c>
      <c r="EJ50" s="12">
        <f t="shared" si="275"/>
        <v>0</v>
      </c>
      <c r="EK50" s="12">
        <f t="shared" si="275"/>
        <v>0</v>
      </c>
      <c r="EL50" s="12">
        <f>IF($EA50&lt;&gt;0,EE50*$DZ50/$EA50,0)</f>
        <v>0</v>
      </c>
      <c r="EM50" s="12">
        <f t="shared" si="275"/>
        <v>0</v>
      </c>
      <c r="EN50" s="16">
        <f t="shared" si="275"/>
        <v>0</v>
      </c>
      <c r="EO50" s="59">
        <f t="shared" si="198"/>
        <v>0</v>
      </c>
      <c r="EP50" s="26">
        <f>27000</f>
        <v>27000</v>
      </c>
      <c r="EQ50" s="68">
        <v>1</v>
      </c>
      <c r="ER50" s="12"/>
      <c r="ES50" s="12"/>
      <c r="ET50" s="15">
        <v>1</v>
      </c>
      <c r="EU50" s="15"/>
      <c r="EV50" s="61">
        <f t="shared" si="199"/>
        <v>0</v>
      </c>
      <c r="EW50" s="66">
        <f t="shared" si="49"/>
        <v>0</v>
      </c>
      <c r="EX50" s="12">
        <f t="shared" si="49"/>
        <v>0</v>
      </c>
      <c r="EY50" s="12">
        <f t="shared" si="49"/>
        <v>27000</v>
      </c>
      <c r="EZ50" s="16">
        <f t="shared" si="49"/>
        <v>0</v>
      </c>
      <c r="FA50" s="59">
        <f t="shared" si="200"/>
        <v>0</v>
      </c>
      <c r="FB50" s="26">
        <f>27000</f>
        <v>27000</v>
      </c>
      <c r="FC50" s="68">
        <v>1</v>
      </c>
      <c r="FD50" s="12">
        <v>0.5</v>
      </c>
      <c r="FE50" s="15">
        <v>0.5</v>
      </c>
      <c r="FF50" s="15"/>
      <c r="FG50" s="61">
        <f t="shared" si="201"/>
        <v>0</v>
      </c>
      <c r="FH50" s="66">
        <f t="shared" si="50"/>
        <v>13500</v>
      </c>
      <c r="FI50" s="12">
        <f t="shared" si="50"/>
        <v>13500</v>
      </c>
      <c r="FJ50" s="16">
        <f t="shared" si="50"/>
        <v>0</v>
      </c>
      <c r="FK50" s="59">
        <f t="shared" si="202"/>
        <v>0</v>
      </c>
      <c r="FL50" s="26">
        <f>27000</f>
        <v>27000</v>
      </c>
      <c r="FM50" s="68">
        <v>1</v>
      </c>
      <c r="FN50" s="12"/>
      <c r="FO50" s="15">
        <v>1</v>
      </c>
      <c r="FP50" s="15"/>
      <c r="FQ50" s="15"/>
      <c r="FR50" s="15"/>
      <c r="FS50" s="61">
        <f t="shared" si="203"/>
        <v>0</v>
      </c>
      <c r="FT50" s="66">
        <f t="shared" si="296"/>
        <v>0</v>
      </c>
      <c r="FU50" s="12">
        <f t="shared" si="297"/>
        <v>27000</v>
      </c>
      <c r="FV50" s="12">
        <f t="shared" si="206"/>
        <v>0</v>
      </c>
      <c r="FW50" s="12">
        <f t="shared" si="207"/>
        <v>0</v>
      </c>
      <c r="FX50" s="16">
        <f t="shared" si="51"/>
        <v>0</v>
      </c>
      <c r="FY50" s="59">
        <f t="shared" si="52"/>
        <v>0</v>
      </c>
      <c r="FZ50" s="26">
        <f>27000</f>
        <v>27000</v>
      </c>
      <c r="GA50" s="68">
        <v>1</v>
      </c>
      <c r="GB50" s="12">
        <v>1</v>
      </c>
      <c r="GC50" s="15"/>
      <c r="GD50" s="15"/>
      <c r="GE50" s="15"/>
      <c r="GF50" s="61">
        <f t="shared" si="208"/>
        <v>0</v>
      </c>
      <c r="GG50" s="66">
        <f t="shared" si="53"/>
        <v>27000</v>
      </c>
      <c r="GH50" s="66">
        <f>IF($GA50&lt;&gt;0,GB50*$FZ50/$GA50,0)</f>
        <v>27000</v>
      </c>
      <c r="GI50" s="12">
        <f t="shared" si="289"/>
        <v>0</v>
      </c>
      <c r="GJ50" s="12">
        <f t="shared" si="179"/>
        <v>0</v>
      </c>
      <c r="GK50" s="31">
        <f t="shared" si="290"/>
        <v>0</v>
      </c>
      <c r="GL50" s="123">
        <f t="shared" si="291"/>
        <v>0</v>
      </c>
      <c r="GM50" s="410">
        <f t="shared" si="16"/>
        <v>0</v>
      </c>
      <c r="GN50" s="414">
        <f>27000</f>
        <v>27000</v>
      </c>
      <c r="GO50" s="68">
        <v>1</v>
      </c>
      <c r="GP50" s="12"/>
      <c r="GQ50" s="15">
        <v>1</v>
      </c>
      <c r="GR50" s="15"/>
      <c r="GS50" s="15"/>
      <c r="GT50" s="15"/>
      <c r="GU50" s="61">
        <f t="shared" si="54"/>
        <v>0</v>
      </c>
      <c r="GV50" s="66">
        <f t="shared" si="17"/>
        <v>0</v>
      </c>
      <c r="GW50" s="12">
        <f t="shared" si="18"/>
        <v>27000</v>
      </c>
      <c r="GX50" s="12">
        <f t="shared" si="19"/>
        <v>0</v>
      </c>
      <c r="GY50" s="12">
        <f t="shared" si="20"/>
        <v>0</v>
      </c>
      <c r="GZ50" s="16">
        <f t="shared" si="21"/>
        <v>0</v>
      </c>
      <c r="HA50" s="59">
        <f t="shared" si="55"/>
        <v>0</v>
      </c>
      <c r="HB50" s="26">
        <v>30000</v>
      </c>
      <c r="HC50" s="68">
        <v>1</v>
      </c>
      <c r="HD50" s="12"/>
      <c r="HE50" s="15">
        <v>1</v>
      </c>
      <c r="HF50" s="15"/>
      <c r="HG50" s="15"/>
      <c r="HH50" s="15"/>
      <c r="HI50" s="15"/>
      <c r="HJ50" s="15"/>
      <c r="HK50" s="15"/>
      <c r="HL50" s="61">
        <f t="shared" si="56"/>
        <v>0</v>
      </c>
      <c r="HM50" s="66">
        <f t="shared" si="22"/>
        <v>0</v>
      </c>
      <c r="HN50" s="12">
        <f t="shared" si="23"/>
        <v>30000</v>
      </c>
      <c r="HO50" s="12">
        <f t="shared" si="24"/>
        <v>0</v>
      </c>
      <c r="HP50" s="12">
        <f t="shared" si="25"/>
        <v>0</v>
      </c>
      <c r="HQ50" s="12">
        <f t="shared" si="26"/>
        <v>0</v>
      </c>
      <c r="HR50" s="12">
        <f t="shared" si="27"/>
        <v>0</v>
      </c>
      <c r="HS50" s="12">
        <f t="shared" si="28"/>
        <v>0</v>
      </c>
      <c r="HT50" s="16">
        <f t="shared" si="29"/>
        <v>0</v>
      </c>
      <c r="HU50" s="59">
        <f t="shared" si="57"/>
        <v>0</v>
      </c>
      <c r="HV50" s="26">
        <f>27000</f>
        <v>27000</v>
      </c>
      <c r="HW50" s="68">
        <v>1</v>
      </c>
      <c r="HX50" s="12"/>
      <c r="HY50" s="15"/>
      <c r="HZ50" s="61">
        <f t="shared" si="58"/>
        <v>1</v>
      </c>
      <c r="IA50" s="66">
        <f t="shared" si="59"/>
        <v>0</v>
      </c>
      <c r="IB50" s="16">
        <f t="shared" si="59"/>
        <v>0</v>
      </c>
      <c r="IC50" s="59">
        <f t="shared" si="60"/>
        <v>27000</v>
      </c>
      <c r="ID50" s="129">
        <f>1428.57+26190.36</f>
        <v>27618.93</v>
      </c>
      <c r="IE50" s="68">
        <v>1</v>
      </c>
      <c r="IF50" s="12"/>
      <c r="IG50" s="15">
        <v>1</v>
      </c>
      <c r="IH50" s="15"/>
      <c r="II50" s="15"/>
      <c r="IJ50" s="15"/>
      <c r="IK50" s="15"/>
      <c r="IL50" s="15"/>
      <c r="IM50" s="15"/>
      <c r="IN50" s="15"/>
      <c r="IO50" s="61">
        <f t="shared" si="61"/>
        <v>0</v>
      </c>
      <c r="IP50" s="66">
        <f t="shared" si="62"/>
        <v>0</v>
      </c>
      <c r="IQ50" s="12">
        <f t="shared" si="63"/>
        <v>27618.93</v>
      </c>
      <c r="IR50" s="12">
        <f t="shared" si="64"/>
        <v>0</v>
      </c>
      <c r="IS50" s="12">
        <f t="shared" si="65"/>
        <v>0</v>
      </c>
      <c r="IT50" s="12">
        <f t="shared" si="66"/>
        <v>0</v>
      </c>
      <c r="IU50" s="12">
        <f t="shared" si="67"/>
        <v>0</v>
      </c>
      <c r="IV50" s="12">
        <f t="shared" si="68"/>
        <v>0</v>
      </c>
      <c r="IW50" s="15">
        <f t="shared" si="69"/>
        <v>0</v>
      </c>
      <c r="IX50" s="16">
        <f t="shared" si="69"/>
        <v>0</v>
      </c>
      <c r="IY50" s="59">
        <f t="shared" si="70"/>
        <v>0</v>
      </c>
      <c r="IZ50" s="129">
        <v>30000</v>
      </c>
      <c r="JA50" s="68">
        <v>1</v>
      </c>
      <c r="JB50" s="12"/>
      <c r="JC50" s="15">
        <v>1</v>
      </c>
      <c r="JD50" s="15"/>
      <c r="JE50" s="15"/>
      <c r="JF50" s="15"/>
      <c r="JG50" s="15"/>
      <c r="JH50" s="15"/>
      <c r="JI50" s="15"/>
      <c r="JJ50" s="15"/>
      <c r="JK50" s="61">
        <f t="shared" si="295"/>
        <v>0</v>
      </c>
      <c r="JL50" s="66">
        <f t="shared" si="72"/>
        <v>0</v>
      </c>
      <c r="JM50" s="12">
        <f t="shared" si="276"/>
        <v>30000</v>
      </c>
      <c r="JN50" s="12">
        <f t="shared" si="277"/>
        <v>0</v>
      </c>
      <c r="JO50" s="12">
        <f t="shared" si="278"/>
        <v>0</v>
      </c>
      <c r="JP50" s="12">
        <f t="shared" si="279"/>
        <v>0</v>
      </c>
      <c r="JQ50" s="12">
        <f t="shared" si="280"/>
        <v>0</v>
      </c>
      <c r="JR50" s="12">
        <f t="shared" si="281"/>
        <v>0</v>
      </c>
      <c r="JS50" s="12">
        <f t="shared" si="282"/>
        <v>0</v>
      </c>
      <c r="JT50" s="16">
        <f t="shared" si="283"/>
        <v>0</v>
      </c>
      <c r="JU50" s="59">
        <f t="shared" si="81"/>
        <v>0</v>
      </c>
      <c r="JV50" s="129">
        <v>30000</v>
      </c>
      <c r="JW50" s="68">
        <v>1</v>
      </c>
      <c r="JX50" s="12"/>
      <c r="JY50" s="12"/>
      <c r="JZ50" s="15">
        <v>0.7</v>
      </c>
      <c r="KA50" s="15"/>
      <c r="KB50" s="15"/>
      <c r="KC50" s="15">
        <v>0.3</v>
      </c>
      <c r="KD50" s="15"/>
      <c r="KE50" s="15"/>
      <c r="KF50" s="15"/>
      <c r="KG50" s="61">
        <f t="shared" si="82"/>
        <v>0</v>
      </c>
      <c r="KH50" s="146">
        <f t="shared" si="83"/>
        <v>0</v>
      </c>
      <c r="KI50" s="12">
        <f t="shared" si="83"/>
        <v>0</v>
      </c>
      <c r="KJ50" s="12">
        <f t="shared" si="84"/>
        <v>21000</v>
      </c>
      <c r="KK50" s="12">
        <f t="shared" si="85"/>
        <v>0</v>
      </c>
      <c r="KL50" s="12">
        <f t="shared" si="86"/>
        <v>0</v>
      </c>
      <c r="KM50" s="12">
        <f t="shared" si="87"/>
        <v>9000</v>
      </c>
      <c r="KN50" s="12">
        <f t="shared" si="88"/>
        <v>0</v>
      </c>
      <c r="KO50" s="12">
        <f t="shared" si="89"/>
        <v>0</v>
      </c>
      <c r="KP50" s="16">
        <f t="shared" si="90"/>
        <v>0</v>
      </c>
      <c r="KQ50" s="59">
        <f t="shared" si="91"/>
        <v>0</v>
      </c>
      <c r="KR50" s="129">
        <v>30000</v>
      </c>
      <c r="KS50" s="68">
        <v>1</v>
      </c>
      <c r="KT50" s="12"/>
      <c r="KU50" s="15">
        <v>1</v>
      </c>
      <c r="KV50" s="15"/>
      <c r="KW50" s="15"/>
      <c r="KX50" s="15"/>
      <c r="KY50" s="15"/>
      <c r="KZ50" s="15"/>
      <c r="LA50" s="15"/>
      <c r="LB50" s="61">
        <f t="shared" si="92"/>
        <v>0</v>
      </c>
      <c r="LC50" s="66">
        <f t="shared" si="93"/>
        <v>0</v>
      </c>
      <c r="LD50" s="12">
        <f t="shared" si="94"/>
        <v>30000</v>
      </c>
      <c r="LE50" s="12">
        <f t="shared" si="95"/>
        <v>0</v>
      </c>
      <c r="LF50" s="12">
        <f t="shared" si="96"/>
        <v>0</v>
      </c>
      <c r="LG50" s="12">
        <f t="shared" si="97"/>
        <v>0</v>
      </c>
      <c r="LH50" s="12">
        <f t="shared" si="98"/>
        <v>0</v>
      </c>
      <c r="LI50" s="12">
        <f t="shared" si="99"/>
        <v>0</v>
      </c>
      <c r="LJ50" s="16">
        <f t="shared" si="100"/>
        <v>0</v>
      </c>
      <c r="LK50" s="59">
        <f t="shared" si="101"/>
        <v>0</v>
      </c>
      <c r="LL50" s="129">
        <v>30000</v>
      </c>
      <c r="LM50" s="68">
        <v>1</v>
      </c>
      <c r="LN50" s="15">
        <v>1</v>
      </c>
      <c r="LO50" s="15"/>
      <c r="LP50" s="15"/>
      <c r="LQ50" s="15"/>
      <c r="LR50" s="15"/>
      <c r="LS50" s="15"/>
      <c r="LT50" s="15"/>
      <c r="LU50" s="61">
        <f t="shared" si="102"/>
        <v>0</v>
      </c>
      <c r="LV50" s="66">
        <f t="shared" si="103"/>
        <v>30000</v>
      </c>
      <c r="LW50" s="12">
        <f t="shared" si="104"/>
        <v>0</v>
      </c>
      <c r="LX50" s="12">
        <f t="shared" si="105"/>
        <v>0</v>
      </c>
      <c r="LY50" s="12">
        <f t="shared" si="106"/>
        <v>0</v>
      </c>
      <c r="LZ50" s="12">
        <f t="shared" si="107"/>
        <v>0</v>
      </c>
      <c r="MA50" s="12">
        <f t="shared" si="108"/>
        <v>0</v>
      </c>
      <c r="MB50" s="16">
        <f t="shared" si="109"/>
        <v>0</v>
      </c>
      <c r="MC50" s="59">
        <f t="shared" si="110"/>
        <v>0</v>
      </c>
      <c r="MD50" s="129">
        <v>30000</v>
      </c>
      <c r="ME50" s="68">
        <v>1</v>
      </c>
      <c r="MF50" s="15">
        <v>1</v>
      </c>
      <c r="MG50" s="15"/>
      <c r="MH50" s="15"/>
      <c r="MI50" s="15"/>
      <c r="MJ50" s="15"/>
      <c r="MK50" s="15"/>
      <c r="ML50" s="15"/>
      <c r="MM50" s="61">
        <f t="shared" si="111"/>
        <v>0</v>
      </c>
      <c r="MN50" s="66">
        <f t="shared" si="112"/>
        <v>30000</v>
      </c>
      <c r="MO50" s="12">
        <f t="shared" si="113"/>
        <v>0</v>
      </c>
      <c r="MP50" s="12">
        <f t="shared" si="114"/>
        <v>0</v>
      </c>
      <c r="MQ50" s="12">
        <f t="shared" si="115"/>
        <v>0</v>
      </c>
      <c r="MR50" s="12">
        <f t="shared" si="116"/>
        <v>0</v>
      </c>
      <c r="MS50" s="12">
        <f t="shared" si="116"/>
        <v>0</v>
      </c>
      <c r="MT50" s="16">
        <f t="shared" si="117"/>
        <v>0</v>
      </c>
      <c r="MU50" s="59">
        <f t="shared" si="189"/>
        <v>0</v>
      </c>
      <c r="MV50" s="617">
        <v>30000</v>
      </c>
      <c r="MW50" s="619">
        <v>1</v>
      </c>
      <c r="MX50" s="15"/>
      <c r="MY50" s="15"/>
      <c r="MZ50" s="15">
        <v>1</v>
      </c>
      <c r="NA50" s="15"/>
      <c r="NB50" s="15"/>
      <c r="NC50" s="15"/>
      <c r="ND50" s="15"/>
      <c r="NE50" s="61">
        <f t="shared" si="118"/>
        <v>0</v>
      </c>
      <c r="NF50" s="66">
        <f t="shared" si="119"/>
        <v>0</v>
      </c>
      <c r="NG50" s="12">
        <f t="shared" si="120"/>
        <v>0</v>
      </c>
      <c r="NH50" s="12">
        <f t="shared" si="121"/>
        <v>30000</v>
      </c>
      <c r="NI50" s="12">
        <f t="shared" si="122"/>
        <v>0</v>
      </c>
      <c r="NJ50" s="12">
        <f t="shared" si="123"/>
        <v>0</v>
      </c>
      <c r="NK50" s="12">
        <f t="shared" si="123"/>
        <v>0</v>
      </c>
      <c r="NL50" s="16">
        <f t="shared" si="124"/>
        <v>0</v>
      </c>
      <c r="NM50" s="59">
        <f t="shared" si="125"/>
        <v>0</v>
      </c>
      <c r="NN50" s="617">
        <v>30000</v>
      </c>
      <c r="NO50" s="619">
        <v>1</v>
      </c>
      <c r="NP50" s="15"/>
      <c r="NQ50" s="15"/>
      <c r="NR50" s="15"/>
      <c r="NS50" s="15"/>
      <c r="NT50" s="15"/>
      <c r="NU50" s="61">
        <f t="shared" si="126"/>
        <v>1</v>
      </c>
      <c r="NV50" s="66">
        <f t="shared" si="190"/>
        <v>0</v>
      </c>
      <c r="NW50" s="12">
        <f t="shared" si="209"/>
        <v>0</v>
      </c>
      <c r="NX50" s="12">
        <f t="shared" si="210"/>
        <v>0</v>
      </c>
      <c r="NY50" s="12">
        <f t="shared" si="211"/>
        <v>0</v>
      </c>
      <c r="NZ50" s="16">
        <f t="shared" si="212"/>
        <v>0</v>
      </c>
      <c r="OA50" s="59">
        <f t="shared" si="131"/>
        <v>30000</v>
      </c>
      <c r="OB50" s="131">
        <v>30000</v>
      </c>
      <c r="OC50" s="133">
        <v>1</v>
      </c>
      <c r="OD50" s="15"/>
      <c r="OE50" s="15"/>
      <c r="OF50" s="15"/>
      <c r="OG50" s="15"/>
      <c r="OH50" s="15"/>
      <c r="OI50" s="61">
        <f t="shared" si="163"/>
        <v>1</v>
      </c>
      <c r="OJ50" s="66">
        <f t="shared" si="132"/>
        <v>0</v>
      </c>
      <c r="OK50" s="12">
        <f t="shared" si="133"/>
        <v>0</v>
      </c>
      <c r="OL50" s="12">
        <f t="shared" si="134"/>
        <v>0</v>
      </c>
      <c r="OM50" s="12">
        <f t="shared" si="135"/>
        <v>0</v>
      </c>
      <c r="ON50" s="16">
        <f t="shared" si="136"/>
        <v>0</v>
      </c>
      <c r="OO50" s="59">
        <f t="shared" si="137"/>
        <v>30000</v>
      </c>
      <c r="OP50" s="131">
        <v>30000</v>
      </c>
      <c r="OQ50" s="133">
        <v>1</v>
      </c>
      <c r="OR50" s="15"/>
      <c r="OS50" s="15"/>
      <c r="OT50" s="15"/>
      <c r="OU50" s="15"/>
      <c r="OV50" s="15"/>
      <c r="OW50" s="61">
        <f t="shared" si="138"/>
        <v>1</v>
      </c>
      <c r="OX50" s="66">
        <f t="shared" si="139"/>
        <v>0</v>
      </c>
      <c r="OY50" s="12">
        <f t="shared" si="140"/>
        <v>0</v>
      </c>
      <c r="OZ50" s="12">
        <f t="shared" si="141"/>
        <v>0</v>
      </c>
      <c r="PA50" s="12">
        <f t="shared" si="142"/>
        <v>0</v>
      </c>
      <c r="PB50" s="16">
        <f t="shared" si="143"/>
        <v>0</v>
      </c>
      <c r="PC50" s="59">
        <f t="shared" si="144"/>
        <v>30000</v>
      </c>
      <c r="PD50" s="131">
        <v>30000</v>
      </c>
      <c r="PE50" s="133">
        <v>1</v>
      </c>
      <c r="PF50" s="15"/>
      <c r="PG50" s="15"/>
      <c r="PH50" s="15"/>
      <c r="PI50" s="15"/>
      <c r="PJ50" s="15"/>
      <c r="PK50" s="61">
        <f t="shared" si="145"/>
        <v>1</v>
      </c>
      <c r="PL50" s="66">
        <f t="shared" si="174"/>
        <v>0</v>
      </c>
      <c r="PM50" s="12">
        <f t="shared" si="175"/>
        <v>0</v>
      </c>
      <c r="PN50" s="12">
        <f t="shared" si="176"/>
        <v>0</v>
      </c>
      <c r="PO50" s="12">
        <f t="shared" si="177"/>
        <v>0</v>
      </c>
      <c r="PP50" s="16">
        <f t="shared" si="178"/>
        <v>0</v>
      </c>
      <c r="PQ50" s="59">
        <f t="shared" si="150"/>
        <v>30000</v>
      </c>
      <c r="PS50" s="884">
        <f t="shared" si="151"/>
        <v>0</v>
      </c>
    </row>
    <row r="51" spans="2:435" x14ac:dyDescent="0.2">
      <c r="B51" s="24">
        <v>39</v>
      </c>
      <c r="C51" s="25" t="s">
        <v>17</v>
      </c>
      <c r="D51" s="26">
        <v>50000</v>
      </c>
      <c r="E51" s="42">
        <v>1</v>
      </c>
      <c r="F51" s="31"/>
      <c r="G51" s="12"/>
      <c r="H51" s="12">
        <v>0.5</v>
      </c>
      <c r="I51" s="12"/>
      <c r="J51" s="12">
        <v>0.5</v>
      </c>
      <c r="K51" s="12"/>
      <c r="L51" s="15"/>
      <c r="M51" s="61">
        <f t="shared" si="41"/>
        <v>0</v>
      </c>
      <c r="N51" s="31">
        <f t="shared" si="292"/>
        <v>0</v>
      </c>
      <c r="O51" s="12">
        <f t="shared" si="292"/>
        <v>0</v>
      </c>
      <c r="P51" s="12">
        <f t="shared" si="292"/>
        <v>25000</v>
      </c>
      <c r="Q51" s="12">
        <f t="shared" si="292"/>
        <v>0</v>
      </c>
      <c r="R51" s="12">
        <f t="shared" si="292"/>
        <v>25000</v>
      </c>
      <c r="S51" s="12">
        <f t="shared" si="292"/>
        <v>0</v>
      </c>
      <c r="T51" s="15">
        <f t="shared" si="292"/>
        <v>0</v>
      </c>
      <c r="U51" s="59">
        <f t="shared" si="191"/>
        <v>0</v>
      </c>
      <c r="V51" s="26">
        <v>70000</v>
      </c>
      <c r="W51" s="42">
        <v>1</v>
      </c>
      <c r="X51" s="31"/>
      <c r="Y51" s="12"/>
      <c r="Z51" s="12"/>
      <c r="AA51" s="12"/>
      <c r="AB51" s="12"/>
      <c r="AC51" s="12"/>
      <c r="AD51" s="15"/>
      <c r="AE51" s="15">
        <v>1</v>
      </c>
      <c r="AF51" s="61">
        <f t="shared" si="42"/>
        <v>0</v>
      </c>
      <c r="AG51" s="35">
        <f t="shared" si="43"/>
        <v>0</v>
      </c>
      <c r="AH51" s="35">
        <f t="shared" si="43"/>
        <v>0</v>
      </c>
      <c r="AI51" s="35">
        <f t="shared" si="43"/>
        <v>0</v>
      </c>
      <c r="AJ51" s="35">
        <f t="shared" si="43"/>
        <v>0</v>
      </c>
      <c r="AK51" s="35">
        <f t="shared" si="43"/>
        <v>0</v>
      </c>
      <c r="AL51" s="35">
        <f t="shared" si="43"/>
        <v>0</v>
      </c>
      <c r="AM51" s="35">
        <f t="shared" si="43"/>
        <v>0</v>
      </c>
      <c r="AN51" s="35">
        <f t="shared" si="43"/>
        <v>70000</v>
      </c>
      <c r="AO51" s="62">
        <f t="shared" si="44"/>
        <v>0</v>
      </c>
      <c r="AP51" s="26">
        <v>70000</v>
      </c>
      <c r="AQ51" s="42">
        <v>1</v>
      </c>
      <c r="AR51" s="12"/>
      <c r="AS51" s="12"/>
      <c r="AT51" s="12"/>
      <c r="AU51" s="12"/>
      <c r="AV51" s="15"/>
      <c r="AW51" s="15">
        <v>1</v>
      </c>
      <c r="AX51" s="61">
        <f t="shared" si="45"/>
        <v>0</v>
      </c>
      <c r="AY51" s="35">
        <f t="shared" si="273"/>
        <v>0</v>
      </c>
      <c r="AZ51" s="35">
        <f t="shared" si="273"/>
        <v>0</v>
      </c>
      <c r="BA51" s="35">
        <f t="shared" si="273"/>
        <v>0</v>
      </c>
      <c r="BB51" s="35">
        <f t="shared" si="273"/>
        <v>0</v>
      </c>
      <c r="BC51" s="35">
        <f t="shared" si="273"/>
        <v>0</v>
      </c>
      <c r="BD51" s="34">
        <f t="shared" si="273"/>
        <v>70000</v>
      </c>
      <c r="BE51" s="59">
        <f t="shared" si="46"/>
        <v>0</v>
      </c>
      <c r="BF51" s="26">
        <v>70000</v>
      </c>
      <c r="BG51" s="42">
        <v>1</v>
      </c>
      <c r="BH51" s="12"/>
      <c r="BI51" s="12"/>
      <c r="BJ51" s="12">
        <v>1</v>
      </c>
      <c r="BK51" s="12"/>
      <c r="BL51" s="15"/>
      <c r="BM51" s="15"/>
      <c r="BN51" s="15"/>
      <c r="BO51" s="61">
        <f t="shared" si="3"/>
        <v>0</v>
      </c>
      <c r="BP51" s="65">
        <f t="shared" si="274"/>
        <v>0</v>
      </c>
      <c r="BQ51" s="33">
        <f t="shared" si="274"/>
        <v>0</v>
      </c>
      <c r="BR51" s="33">
        <f t="shared" si="274"/>
        <v>70000</v>
      </c>
      <c r="BS51" s="33">
        <f t="shared" si="274"/>
        <v>0</v>
      </c>
      <c r="BT51" s="33">
        <f t="shared" si="274"/>
        <v>0</v>
      </c>
      <c r="BU51" s="33">
        <f t="shared" si="274"/>
        <v>0</v>
      </c>
      <c r="BV51" s="34">
        <f t="shared" si="274"/>
        <v>0</v>
      </c>
      <c r="BW51" s="59">
        <f t="shared" si="192"/>
        <v>0</v>
      </c>
      <c r="BX51" s="69">
        <v>70000</v>
      </c>
      <c r="BY51" s="68">
        <v>1</v>
      </c>
      <c r="BZ51" s="31"/>
      <c r="CA51" s="12"/>
      <c r="CB51" s="12">
        <v>1</v>
      </c>
      <c r="CC51" s="12"/>
      <c r="CD51" s="15"/>
      <c r="CE51" s="15"/>
      <c r="CF51" s="15"/>
      <c r="CG51" s="61">
        <f t="shared" si="5"/>
        <v>0</v>
      </c>
      <c r="CH51" s="66">
        <f t="shared" si="47"/>
        <v>0</v>
      </c>
      <c r="CI51" s="12">
        <f t="shared" si="47"/>
        <v>0</v>
      </c>
      <c r="CJ51" s="12">
        <f t="shared" si="47"/>
        <v>70000</v>
      </c>
      <c r="CK51" s="12">
        <f t="shared" si="47"/>
        <v>0</v>
      </c>
      <c r="CL51" s="12">
        <f t="shared" si="47"/>
        <v>0</v>
      </c>
      <c r="CM51" s="12">
        <f t="shared" si="47"/>
        <v>0</v>
      </c>
      <c r="CN51" s="16">
        <f t="shared" si="47"/>
        <v>0</v>
      </c>
      <c r="CO51" s="59">
        <f t="shared" si="193"/>
        <v>0</v>
      </c>
      <c r="CP51" s="69">
        <f>3333.33+53968.32</f>
        <v>57301.65</v>
      </c>
      <c r="CQ51" s="68">
        <v>1</v>
      </c>
      <c r="CR51" s="12"/>
      <c r="CS51" s="12"/>
      <c r="CT51" s="12">
        <v>1</v>
      </c>
      <c r="CU51" s="12"/>
      <c r="CV51" s="15"/>
      <c r="CW51" s="15"/>
      <c r="CX51" s="15"/>
      <c r="CY51" s="61">
        <f t="shared" si="7"/>
        <v>0</v>
      </c>
      <c r="CZ51" s="66">
        <f t="shared" si="194"/>
        <v>0</v>
      </c>
      <c r="DA51" s="12">
        <f t="shared" si="194"/>
        <v>0</v>
      </c>
      <c r="DB51" s="12">
        <f t="shared" si="194"/>
        <v>57301.65</v>
      </c>
      <c r="DC51" s="12">
        <f t="shared" si="194"/>
        <v>0</v>
      </c>
      <c r="DD51" s="12">
        <f t="shared" si="194"/>
        <v>0</v>
      </c>
      <c r="DE51" s="12">
        <f t="shared" si="194"/>
        <v>0</v>
      </c>
      <c r="DF51" s="16">
        <f t="shared" si="194"/>
        <v>0</v>
      </c>
      <c r="DG51" s="59">
        <f t="shared" si="195"/>
        <v>0</v>
      </c>
      <c r="DH51" s="69">
        <v>70000</v>
      </c>
      <c r="DI51" s="68">
        <v>1</v>
      </c>
      <c r="DJ51" s="12"/>
      <c r="DK51" s="12"/>
      <c r="DL51" s="12"/>
      <c r="DM51" s="12"/>
      <c r="DN51" s="15"/>
      <c r="DO51" s="15"/>
      <c r="DP51" s="15">
        <v>1</v>
      </c>
      <c r="DQ51" s="61">
        <f t="shared" si="9"/>
        <v>0</v>
      </c>
      <c r="DR51" s="66">
        <f t="shared" si="48"/>
        <v>0</v>
      </c>
      <c r="DS51" s="12">
        <f t="shared" si="48"/>
        <v>0</v>
      </c>
      <c r="DT51" s="12">
        <f t="shared" si="48"/>
        <v>0</v>
      </c>
      <c r="DU51" s="12">
        <f t="shared" si="48"/>
        <v>0</v>
      </c>
      <c r="DV51" s="12">
        <f t="shared" si="48"/>
        <v>0</v>
      </c>
      <c r="DW51" s="12">
        <f t="shared" si="48"/>
        <v>0</v>
      </c>
      <c r="DX51" s="16">
        <f t="shared" si="48"/>
        <v>70000</v>
      </c>
      <c r="DY51" s="59">
        <f t="shared" si="196"/>
        <v>0</v>
      </c>
      <c r="DZ51" s="69">
        <v>70000</v>
      </c>
      <c r="EA51" s="68">
        <v>1</v>
      </c>
      <c r="EB51" s="12">
        <v>0.5</v>
      </c>
      <c r="EC51" s="12"/>
      <c r="ED51" s="12"/>
      <c r="EE51" s="15"/>
      <c r="EF51" s="15">
        <v>0.5</v>
      </c>
      <c r="EG51" s="15"/>
      <c r="EH51" s="61">
        <f t="shared" si="197"/>
        <v>0</v>
      </c>
      <c r="EI51" s="66">
        <f t="shared" si="275"/>
        <v>35000</v>
      </c>
      <c r="EJ51" s="12">
        <f t="shared" si="275"/>
        <v>0</v>
      </c>
      <c r="EK51" s="12">
        <f t="shared" si="275"/>
        <v>0</v>
      </c>
      <c r="EL51" s="12">
        <f t="shared" si="275"/>
        <v>0</v>
      </c>
      <c r="EM51" s="12">
        <f t="shared" si="275"/>
        <v>35000</v>
      </c>
      <c r="EN51" s="16">
        <f t="shared" si="275"/>
        <v>0</v>
      </c>
      <c r="EO51" s="59">
        <f t="shared" si="198"/>
        <v>0</v>
      </c>
      <c r="EP51" s="69">
        <v>70000</v>
      </c>
      <c r="EQ51" s="68">
        <v>1</v>
      </c>
      <c r="ER51" s="12">
        <v>0.5</v>
      </c>
      <c r="ES51" s="12"/>
      <c r="ET51" s="15"/>
      <c r="EU51" s="15">
        <v>0.5</v>
      </c>
      <c r="EV51" s="61">
        <f t="shared" si="199"/>
        <v>0</v>
      </c>
      <c r="EW51" s="66">
        <f t="shared" si="49"/>
        <v>35000</v>
      </c>
      <c r="EX51" s="12">
        <f t="shared" si="49"/>
        <v>0</v>
      </c>
      <c r="EY51" s="12">
        <f t="shared" si="49"/>
        <v>0</v>
      </c>
      <c r="EZ51" s="16">
        <f t="shared" si="49"/>
        <v>35000</v>
      </c>
      <c r="FA51" s="59">
        <f t="shared" si="200"/>
        <v>0</v>
      </c>
      <c r="FB51" s="69">
        <v>70000</v>
      </c>
      <c r="FC51" s="68">
        <v>1</v>
      </c>
      <c r="FD51" s="12"/>
      <c r="FE51" s="15"/>
      <c r="FF51" s="15">
        <v>1</v>
      </c>
      <c r="FG51" s="61">
        <f t="shared" si="201"/>
        <v>0</v>
      </c>
      <c r="FH51" s="66">
        <f t="shared" si="50"/>
        <v>0</v>
      </c>
      <c r="FI51" s="12">
        <f t="shared" si="50"/>
        <v>0</v>
      </c>
      <c r="FJ51" s="16">
        <f t="shared" si="50"/>
        <v>70000</v>
      </c>
      <c r="FK51" s="59">
        <f t="shared" si="202"/>
        <v>0</v>
      </c>
      <c r="FL51" s="69">
        <f>51666.66+94574.87</f>
        <v>146241.53</v>
      </c>
      <c r="FM51" s="68">
        <v>0.75</v>
      </c>
      <c r="FN51" s="12"/>
      <c r="FO51" s="15"/>
      <c r="FP51" s="15"/>
      <c r="FQ51" s="15"/>
      <c r="FR51" s="15">
        <v>0.75</v>
      </c>
      <c r="FS51" s="61">
        <f t="shared" si="203"/>
        <v>0</v>
      </c>
      <c r="FT51" s="66">
        <f t="shared" si="296"/>
        <v>0</v>
      </c>
      <c r="FU51" s="12">
        <f t="shared" si="297"/>
        <v>0</v>
      </c>
      <c r="FV51" s="12">
        <f t="shared" si="206"/>
        <v>0</v>
      </c>
      <c r="FW51" s="12">
        <f t="shared" si="207"/>
        <v>0</v>
      </c>
      <c r="FX51" s="16">
        <f t="shared" si="51"/>
        <v>146241.53</v>
      </c>
      <c r="FY51" s="59">
        <f t="shared" si="52"/>
        <v>0</v>
      </c>
      <c r="FZ51" s="69">
        <f>35000+150000</f>
        <v>185000</v>
      </c>
      <c r="GA51" s="68">
        <v>0.5</v>
      </c>
      <c r="GB51" s="12">
        <v>0.5</v>
      </c>
      <c r="GC51" s="15"/>
      <c r="GD51" s="15"/>
      <c r="GE51" s="15"/>
      <c r="GF51" s="61">
        <f t="shared" si="208"/>
        <v>0</v>
      </c>
      <c r="GG51" s="66">
        <f t="shared" si="53"/>
        <v>185000</v>
      </c>
      <c r="GH51" s="120">
        <f>IF($GA51&lt;&gt;0,GB51*($FZ51-150000)/$GA51,0)</f>
        <v>35000</v>
      </c>
      <c r="GI51" s="12">
        <f t="shared" si="289"/>
        <v>0</v>
      </c>
      <c r="GJ51" s="12">
        <f t="shared" si="179"/>
        <v>0</v>
      </c>
      <c r="GK51" s="31">
        <f t="shared" si="290"/>
        <v>0</v>
      </c>
      <c r="GL51" s="123">
        <f t="shared" si="291"/>
        <v>0</v>
      </c>
      <c r="GM51" s="410">
        <f t="shared" si="16"/>
        <v>0</v>
      </c>
      <c r="GN51" s="414">
        <f>35000</f>
        <v>35000</v>
      </c>
      <c r="GO51" s="68">
        <v>0.5</v>
      </c>
      <c r="GP51" s="12"/>
      <c r="GQ51" s="15">
        <v>0.5</v>
      </c>
      <c r="GR51" s="15"/>
      <c r="GS51" s="15"/>
      <c r="GT51" s="15"/>
      <c r="GU51" s="61">
        <f t="shared" si="54"/>
        <v>0</v>
      </c>
      <c r="GV51" s="66">
        <f t="shared" si="17"/>
        <v>0</v>
      </c>
      <c r="GW51" s="12">
        <f t="shared" si="18"/>
        <v>35000</v>
      </c>
      <c r="GX51" s="12">
        <f t="shared" si="19"/>
        <v>0</v>
      </c>
      <c r="GY51" s="12">
        <f t="shared" si="20"/>
        <v>0</v>
      </c>
      <c r="GZ51" s="16">
        <f t="shared" si="21"/>
        <v>0</v>
      </c>
      <c r="HA51" s="59">
        <f t="shared" si="55"/>
        <v>0</v>
      </c>
      <c r="HB51" s="69">
        <v>35000</v>
      </c>
      <c r="HC51" s="68">
        <v>0.5</v>
      </c>
      <c r="HD51" s="12"/>
      <c r="HE51" s="15"/>
      <c r="HF51" s="15"/>
      <c r="HG51" s="15"/>
      <c r="HH51" s="15"/>
      <c r="HI51" s="15">
        <v>0.3</v>
      </c>
      <c r="HJ51" s="15"/>
      <c r="HK51" s="15">
        <v>0.2</v>
      </c>
      <c r="HL51" s="61">
        <f t="shared" si="56"/>
        <v>0</v>
      </c>
      <c r="HM51" s="66">
        <f t="shared" si="22"/>
        <v>0</v>
      </c>
      <c r="HN51" s="12">
        <f t="shared" si="23"/>
        <v>0</v>
      </c>
      <c r="HO51" s="12">
        <f t="shared" si="24"/>
        <v>0</v>
      </c>
      <c r="HP51" s="12">
        <f t="shared" si="25"/>
        <v>0</v>
      </c>
      <c r="HQ51" s="12">
        <f t="shared" si="26"/>
        <v>0</v>
      </c>
      <c r="HR51" s="12">
        <f t="shared" si="27"/>
        <v>21000</v>
      </c>
      <c r="HS51" s="12">
        <f t="shared" si="28"/>
        <v>0</v>
      </c>
      <c r="HT51" s="16">
        <f t="shared" si="29"/>
        <v>14000</v>
      </c>
      <c r="HU51" s="59">
        <f t="shared" si="57"/>
        <v>0</v>
      </c>
      <c r="HV51" s="69">
        <f>35000</f>
        <v>35000</v>
      </c>
      <c r="HW51" s="68">
        <v>0.5</v>
      </c>
      <c r="HX51" s="12"/>
      <c r="HY51" s="15"/>
      <c r="HZ51" s="61">
        <f t="shared" si="58"/>
        <v>0.5</v>
      </c>
      <c r="IA51" s="66">
        <f t="shared" si="59"/>
        <v>0</v>
      </c>
      <c r="IB51" s="16">
        <f t="shared" si="59"/>
        <v>0</v>
      </c>
      <c r="IC51" s="59">
        <f t="shared" si="60"/>
        <v>35000</v>
      </c>
      <c r="ID51" s="129">
        <f>18333.33+22353.38</f>
        <v>40686.71</v>
      </c>
      <c r="IE51" s="68">
        <v>0.5</v>
      </c>
      <c r="IF51" s="12"/>
      <c r="IG51" s="15"/>
      <c r="IH51" s="15"/>
      <c r="II51" s="15"/>
      <c r="IJ51" s="15"/>
      <c r="IK51" s="15">
        <v>0.3</v>
      </c>
      <c r="IL51" s="15"/>
      <c r="IM51" s="15"/>
      <c r="IN51" s="15">
        <v>0.2</v>
      </c>
      <c r="IO51" s="61">
        <f t="shared" si="61"/>
        <v>0</v>
      </c>
      <c r="IP51" s="66">
        <f t="shared" si="62"/>
        <v>0</v>
      </c>
      <c r="IQ51" s="12">
        <f t="shared" si="63"/>
        <v>0</v>
      </c>
      <c r="IR51" s="12">
        <f t="shared" si="64"/>
        <v>0</v>
      </c>
      <c r="IS51" s="12">
        <f t="shared" si="65"/>
        <v>0</v>
      </c>
      <c r="IT51" s="12">
        <f t="shared" si="66"/>
        <v>0</v>
      </c>
      <c r="IU51" s="12">
        <f t="shared" si="67"/>
        <v>24412.03</v>
      </c>
      <c r="IV51" s="12">
        <f t="shared" si="68"/>
        <v>0</v>
      </c>
      <c r="IW51" s="15">
        <f t="shared" si="69"/>
        <v>0</v>
      </c>
      <c r="IX51" s="16">
        <f t="shared" si="69"/>
        <v>16274.68</v>
      </c>
      <c r="IY51" s="59">
        <f t="shared" si="70"/>
        <v>0</v>
      </c>
      <c r="IZ51" s="129">
        <v>35000</v>
      </c>
      <c r="JA51" s="68">
        <v>0.5</v>
      </c>
      <c r="JB51" s="12"/>
      <c r="JC51" s="15">
        <v>0.5</v>
      </c>
      <c r="JD51" s="15"/>
      <c r="JE51" s="15"/>
      <c r="JF51" s="15"/>
      <c r="JG51" s="15"/>
      <c r="JH51" s="15"/>
      <c r="JI51" s="15"/>
      <c r="JJ51" s="15"/>
      <c r="JK51" s="61">
        <f t="shared" si="295"/>
        <v>0</v>
      </c>
      <c r="JL51" s="66">
        <f t="shared" si="72"/>
        <v>0</v>
      </c>
      <c r="JM51" s="12">
        <f t="shared" si="276"/>
        <v>35000</v>
      </c>
      <c r="JN51" s="12">
        <f t="shared" si="277"/>
        <v>0</v>
      </c>
      <c r="JO51" s="12">
        <f t="shared" si="278"/>
        <v>0</v>
      </c>
      <c r="JP51" s="12">
        <f t="shared" si="279"/>
        <v>0</v>
      </c>
      <c r="JQ51" s="12">
        <f t="shared" si="280"/>
        <v>0</v>
      </c>
      <c r="JR51" s="12">
        <f t="shared" si="281"/>
        <v>0</v>
      </c>
      <c r="JS51" s="12">
        <f t="shared" si="282"/>
        <v>0</v>
      </c>
      <c r="JT51" s="16">
        <f t="shared" si="283"/>
        <v>0</v>
      </c>
      <c r="JU51" s="59">
        <f t="shared" si="81"/>
        <v>0</v>
      </c>
      <c r="JV51" s="129">
        <v>35000</v>
      </c>
      <c r="JW51" s="68">
        <v>0.5</v>
      </c>
      <c r="JX51" s="12"/>
      <c r="JY51" s="12"/>
      <c r="JZ51" s="15"/>
      <c r="KA51" s="15"/>
      <c r="KB51" s="15"/>
      <c r="KC51" s="15">
        <v>0.3</v>
      </c>
      <c r="KD51" s="15"/>
      <c r="KE51" s="15"/>
      <c r="KF51" s="15">
        <v>0.2</v>
      </c>
      <c r="KG51" s="61">
        <f t="shared" si="82"/>
        <v>0</v>
      </c>
      <c r="KH51" s="146">
        <f t="shared" si="83"/>
        <v>0</v>
      </c>
      <c r="KI51" s="12">
        <f t="shared" si="83"/>
        <v>0</v>
      </c>
      <c r="KJ51" s="12">
        <f t="shared" si="84"/>
        <v>0</v>
      </c>
      <c r="KK51" s="12">
        <f t="shared" si="85"/>
        <v>0</v>
      </c>
      <c r="KL51" s="12">
        <f t="shared" si="86"/>
        <v>0</v>
      </c>
      <c r="KM51" s="12">
        <f t="shared" si="87"/>
        <v>21000</v>
      </c>
      <c r="KN51" s="12">
        <f t="shared" si="88"/>
        <v>0</v>
      </c>
      <c r="KO51" s="12">
        <f t="shared" si="89"/>
        <v>0</v>
      </c>
      <c r="KP51" s="16">
        <f t="shared" si="90"/>
        <v>14000</v>
      </c>
      <c r="KQ51" s="59">
        <f t="shared" si="91"/>
        <v>0</v>
      </c>
      <c r="KR51" s="129">
        <v>35000</v>
      </c>
      <c r="KS51" s="68">
        <v>0.5</v>
      </c>
      <c r="KT51" s="12"/>
      <c r="KU51" s="15"/>
      <c r="KV51" s="15"/>
      <c r="KW51" s="15"/>
      <c r="KX51" s="15">
        <v>0.35</v>
      </c>
      <c r="KY51" s="15"/>
      <c r="KZ51" s="15"/>
      <c r="LA51" s="15">
        <v>0.15</v>
      </c>
      <c r="LB51" s="61">
        <f t="shared" si="92"/>
        <v>0</v>
      </c>
      <c r="LC51" s="66">
        <f t="shared" si="93"/>
        <v>0</v>
      </c>
      <c r="LD51" s="12">
        <f t="shared" si="94"/>
        <v>0</v>
      </c>
      <c r="LE51" s="12">
        <f t="shared" si="95"/>
        <v>0</v>
      </c>
      <c r="LF51" s="12">
        <f t="shared" si="96"/>
        <v>0</v>
      </c>
      <c r="LG51" s="12">
        <f t="shared" si="97"/>
        <v>24500</v>
      </c>
      <c r="LH51" s="12">
        <f t="shared" si="98"/>
        <v>0</v>
      </c>
      <c r="LI51" s="12">
        <f t="shared" si="99"/>
        <v>0</v>
      </c>
      <c r="LJ51" s="16">
        <f t="shared" si="100"/>
        <v>10500</v>
      </c>
      <c r="LK51" s="59">
        <f t="shared" si="101"/>
        <v>0</v>
      </c>
      <c r="LL51" s="129">
        <v>35000</v>
      </c>
      <c r="LM51" s="68">
        <v>0.5</v>
      </c>
      <c r="LN51" s="15"/>
      <c r="LO51" s="15"/>
      <c r="LP51" s="15"/>
      <c r="LQ51" s="15">
        <v>0.2</v>
      </c>
      <c r="LR51" s="15"/>
      <c r="LS51" s="15"/>
      <c r="LT51" s="15">
        <v>0.3</v>
      </c>
      <c r="LU51" s="61">
        <f t="shared" si="102"/>
        <v>0</v>
      </c>
      <c r="LV51" s="66">
        <f t="shared" si="103"/>
        <v>0</v>
      </c>
      <c r="LW51" s="12">
        <f t="shared" si="104"/>
        <v>0</v>
      </c>
      <c r="LX51" s="12">
        <f t="shared" si="105"/>
        <v>0</v>
      </c>
      <c r="LY51" s="12">
        <f t="shared" si="106"/>
        <v>14000</v>
      </c>
      <c r="LZ51" s="12">
        <f t="shared" si="107"/>
        <v>0</v>
      </c>
      <c r="MA51" s="12">
        <f t="shared" si="108"/>
        <v>0</v>
      </c>
      <c r="MB51" s="16">
        <f t="shared" si="109"/>
        <v>21000</v>
      </c>
      <c r="MC51" s="59">
        <f t="shared" si="110"/>
        <v>0</v>
      </c>
      <c r="MD51" s="129">
        <v>35000</v>
      </c>
      <c r="ME51" s="68">
        <v>0.5</v>
      </c>
      <c r="MF51" s="15"/>
      <c r="MG51" s="15"/>
      <c r="MH51" s="15">
        <v>0.15</v>
      </c>
      <c r="MI51" s="15"/>
      <c r="MJ51" s="15"/>
      <c r="MK51" s="15">
        <v>0.35</v>
      </c>
      <c r="ML51" s="15"/>
      <c r="MM51" s="61">
        <f t="shared" si="111"/>
        <v>0</v>
      </c>
      <c r="MN51" s="66">
        <f t="shared" si="112"/>
        <v>0</v>
      </c>
      <c r="MO51" s="12">
        <f t="shared" si="113"/>
        <v>0</v>
      </c>
      <c r="MP51" s="12">
        <f t="shared" si="114"/>
        <v>10500</v>
      </c>
      <c r="MQ51" s="12">
        <f t="shared" si="115"/>
        <v>0</v>
      </c>
      <c r="MR51" s="12">
        <f t="shared" si="116"/>
        <v>0</v>
      </c>
      <c r="MS51" s="12">
        <f t="shared" si="116"/>
        <v>24500</v>
      </c>
      <c r="MT51" s="16">
        <f t="shared" si="117"/>
        <v>0</v>
      </c>
      <c r="MU51" s="59">
        <f t="shared" si="189"/>
        <v>0</v>
      </c>
      <c r="MV51" s="617">
        <v>35000</v>
      </c>
      <c r="MW51" s="619">
        <v>0.5</v>
      </c>
      <c r="MX51" s="15"/>
      <c r="MY51" s="15"/>
      <c r="MZ51" s="15">
        <v>0.3</v>
      </c>
      <c r="NA51" s="15"/>
      <c r="NB51" s="15"/>
      <c r="NC51" s="15"/>
      <c r="ND51" s="15"/>
      <c r="NE51" s="61">
        <f t="shared" si="118"/>
        <v>0.2</v>
      </c>
      <c r="NF51" s="66">
        <f t="shared" si="119"/>
        <v>0</v>
      </c>
      <c r="NG51" s="12">
        <f t="shared" si="120"/>
        <v>0</v>
      </c>
      <c r="NH51" s="12">
        <f t="shared" si="121"/>
        <v>21000</v>
      </c>
      <c r="NI51" s="12">
        <f t="shared" si="122"/>
        <v>0</v>
      </c>
      <c r="NJ51" s="12">
        <f t="shared" si="123"/>
        <v>0</v>
      </c>
      <c r="NK51" s="12">
        <f t="shared" si="123"/>
        <v>0</v>
      </c>
      <c r="NL51" s="16">
        <f t="shared" si="124"/>
        <v>0</v>
      </c>
      <c r="NM51" s="59">
        <f t="shared" si="125"/>
        <v>14000</v>
      </c>
      <c r="NN51" s="617">
        <v>35000</v>
      </c>
      <c r="NO51" s="619">
        <v>0.5</v>
      </c>
      <c r="NP51" s="15"/>
      <c r="NQ51" s="15">
        <v>0.3</v>
      </c>
      <c r="NR51" s="15"/>
      <c r="NS51" s="15"/>
      <c r="NT51" s="15"/>
      <c r="NU51" s="61">
        <f t="shared" si="126"/>
        <v>0.2</v>
      </c>
      <c r="NV51" s="66">
        <f t="shared" si="190"/>
        <v>0</v>
      </c>
      <c r="NW51" s="12">
        <f t="shared" si="209"/>
        <v>21000</v>
      </c>
      <c r="NX51" s="12">
        <f t="shared" si="210"/>
        <v>0</v>
      </c>
      <c r="NY51" s="12">
        <f t="shared" si="211"/>
        <v>0</v>
      </c>
      <c r="NZ51" s="16">
        <f t="shared" si="212"/>
        <v>0</v>
      </c>
      <c r="OA51" s="59">
        <f t="shared" si="131"/>
        <v>14000</v>
      </c>
      <c r="OB51" s="131">
        <v>35000</v>
      </c>
      <c r="OC51" s="133">
        <v>0.5</v>
      </c>
      <c r="OD51" s="15"/>
      <c r="OE51" s="15">
        <v>0.3</v>
      </c>
      <c r="OF51" s="15"/>
      <c r="OG51" s="15"/>
      <c r="OH51" s="15"/>
      <c r="OI51" s="61">
        <f t="shared" si="163"/>
        <v>0.2</v>
      </c>
      <c r="OJ51" s="66">
        <f t="shared" si="132"/>
        <v>0</v>
      </c>
      <c r="OK51" s="12">
        <f t="shared" si="133"/>
        <v>21000</v>
      </c>
      <c r="OL51" s="12">
        <f t="shared" si="134"/>
        <v>0</v>
      </c>
      <c r="OM51" s="12">
        <f t="shared" si="135"/>
        <v>0</v>
      </c>
      <c r="ON51" s="16">
        <f t="shared" si="136"/>
        <v>0</v>
      </c>
      <c r="OO51" s="59">
        <f t="shared" si="137"/>
        <v>14000</v>
      </c>
      <c r="OP51" s="131">
        <v>35000</v>
      </c>
      <c r="OQ51" s="133">
        <v>0.5</v>
      </c>
      <c r="OR51" s="15"/>
      <c r="OS51" s="15">
        <v>0.25</v>
      </c>
      <c r="OT51" s="15"/>
      <c r="OU51" s="15"/>
      <c r="OV51" s="15"/>
      <c r="OW51" s="61">
        <f t="shared" si="138"/>
        <v>0.25</v>
      </c>
      <c r="OX51" s="66">
        <f t="shared" si="139"/>
        <v>0</v>
      </c>
      <c r="OY51" s="12">
        <f t="shared" si="140"/>
        <v>17500</v>
      </c>
      <c r="OZ51" s="12">
        <f t="shared" si="141"/>
        <v>0</v>
      </c>
      <c r="PA51" s="12">
        <f t="shared" si="142"/>
        <v>0</v>
      </c>
      <c r="PB51" s="16">
        <f t="shared" si="143"/>
        <v>0</v>
      </c>
      <c r="PC51" s="59">
        <f t="shared" si="144"/>
        <v>17500</v>
      </c>
      <c r="PD51" s="131">
        <v>35000</v>
      </c>
      <c r="PE51" s="133">
        <v>0.5</v>
      </c>
      <c r="PF51" s="15"/>
      <c r="PG51" s="15"/>
      <c r="PH51" s="15"/>
      <c r="PI51" s="15"/>
      <c r="PJ51" s="15"/>
      <c r="PK51" s="61">
        <f t="shared" si="145"/>
        <v>0.5</v>
      </c>
      <c r="PL51" s="66">
        <f t="shared" si="174"/>
        <v>0</v>
      </c>
      <c r="PM51" s="12">
        <f t="shared" si="175"/>
        <v>0</v>
      </c>
      <c r="PN51" s="12">
        <f t="shared" si="176"/>
        <v>0</v>
      </c>
      <c r="PO51" s="12">
        <f t="shared" si="177"/>
        <v>0</v>
      </c>
      <c r="PP51" s="16">
        <f t="shared" si="178"/>
        <v>0</v>
      </c>
      <c r="PQ51" s="59">
        <f t="shared" si="150"/>
        <v>35000</v>
      </c>
      <c r="PS51" s="885">
        <f t="shared" si="151"/>
        <v>0.85</v>
      </c>
    </row>
    <row r="52" spans="2:435" x14ac:dyDescent="0.2">
      <c r="B52" s="24">
        <v>40</v>
      </c>
      <c r="C52" s="70" t="s">
        <v>38</v>
      </c>
      <c r="D52" s="26"/>
      <c r="E52" s="42"/>
      <c r="F52" s="31"/>
      <c r="G52" s="12"/>
      <c r="H52" s="12"/>
      <c r="I52" s="12"/>
      <c r="J52" s="12"/>
      <c r="K52" s="12"/>
      <c r="L52" s="15"/>
      <c r="M52" s="61">
        <f t="shared" si="41"/>
        <v>0</v>
      </c>
      <c r="N52" s="31">
        <f t="shared" si="292"/>
        <v>0</v>
      </c>
      <c r="O52" s="12">
        <f t="shared" si="292"/>
        <v>0</v>
      </c>
      <c r="P52" s="12">
        <f t="shared" si="292"/>
        <v>0</v>
      </c>
      <c r="Q52" s="12">
        <f t="shared" si="292"/>
        <v>0</v>
      </c>
      <c r="R52" s="12">
        <f t="shared" si="292"/>
        <v>0</v>
      </c>
      <c r="S52" s="12">
        <f t="shared" si="292"/>
        <v>0</v>
      </c>
      <c r="T52" s="15">
        <f t="shared" si="292"/>
        <v>0</v>
      </c>
      <c r="U52" s="59">
        <f t="shared" si="191"/>
        <v>0</v>
      </c>
      <c r="V52" s="26"/>
      <c r="W52" s="42"/>
      <c r="X52" s="31"/>
      <c r="Y52" s="12"/>
      <c r="Z52" s="12"/>
      <c r="AA52" s="12"/>
      <c r="AB52" s="12"/>
      <c r="AC52" s="12"/>
      <c r="AD52" s="15"/>
      <c r="AE52" s="15"/>
      <c r="AF52" s="61">
        <f t="shared" si="42"/>
        <v>0</v>
      </c>
      <c r="AG52" s="35">
        <f t="shared" si="43"/>
        <v>0</v>
      </c>
      <c r="AH52" s="35">
        <f t="shared" si="43"/>
        <v>0</v>
      </c>
      <c r="AI52" s="35">
        <f t="shared" si="43"/>
        <v>0</v>
      </c>
      <c r="AJ52" s="35">
        <f t="shared" si="43"/>
        <v>0</v>
      </c>
      <c r="AK52" s="35">
        <f t="shared" si="43"/>
        <v>0</v>
      </c>
      <c r="AL52" s="35">
        <f t="shared" si="43"/>
        <v>0</v>
      </c>
      <c r="AM52" s="35">
        <f t="shared" si="43"/>
        <v>0</v>
      </c>
      <c r="AN52" s="35">
        <f t="shared" si="43"/>
        <v>0</v>
      </c>
      <c r="AO52" s="62">
        <f t="shared" si="44"/>
        <v>0</v>
      </c>
      <c r="AP52" s="26"/>
      <c r="AQ52" s="42"/>
      <c r="AR52" s="12"/>
      <c r="AS52" s="12"/>
      <c r="AT52" s="12"/>
      <c r="AU52" s="12"/>
      <c r="AV52" s="15"/>
      <c r="AW52" s="15"/>
      <c r="AX52" s="61">
        <f t="shared" si="45"/>
        <v>0</v>
      </c>
      <c r="AY52" s="35">
        <f t="shared" si="273"/>
        <v>0</v>
      </c>
      <c r="AZ52" s="35">
        <f t="shared" si="273"/>
        <v>0</v>
      </c>
      <c r="BA52" s="35">
        <f t="shared" si="273"/>
        <v>0</v>
      </c>
      <c r="BB52" s="35">
        <f t="shared" si="273"/>
        <v>0</v>
      </c>
      <c r="BC52" s="35">
        <f t="shared" si="273"/>
        <v>0</v>
      </c>
      <c r="BD52" s="34">
        <f t="shared" si="273"/>
        <v>0</v>
      </c>
      <c r="BE52" s="59">
        <f t="shared" si="46"/>
        <v>0</v>
      </c>
      <c r="BF52" s="26">
        <v>13500</v>
      </c>
      <c r="BG52" s="42">
        <v>0.5</v>
      </c>
      <c r="BH52" s="12"/>
      <c r="BI52" s="12"/>
      <c r="BJ52" s="12"/>
      <c r="BK52" s="12"/>
      <c r="BL52" s="15">
        <v>0.5</v>
      </c>
      <c r="BM52" s="15"/>
      <c r="BN52" s="15"/>
      <c r="BO52" s="61">
        <f t="shared" si="3"/>
        <v>0</v>
      </c>
      <c r="BP52" s="65">
        <f t="shared" si="274"/>
        <v>0</v>
      </c>
      <c r="BQ52" s="33">
        <f t="shared" si="274"/>
        <v>0</v>
      </c>
      <c r="BR52" s="33">
        <f t="shared" si="274"/>
        <v>0</v>
      </c>
      <c r="BS52" s="33">
        <f t="shared" si="274"/>
        <v>0</v>
      </c>
      <c r="BT52" s="33">
        <f t="shared" si="274"/>
        <v>13500</v>
      </c>
      <c r="BU52" s="33">
        <f t="shared" si="274"/>
        <v>0</v>
      </c>
      <c r="BV52" s="34">
        <f t="shared" si="274"/>
        <v>0</v>
      </c>
      <c r="BW52" s="59">
        <f t="shared" si="192"/>
        <v>0</v>
      </c>
      <c r="BX52" s="69">
        <v>13500</v>
      </c>
      <c r="BY52" s="68">
        <v>0.5</v>
      </c>
      <c r="BZ52" s="31"/>
      <c r="CA52" s="12"/>
      <c r="CB52" s="12"/>
      <c r="CC52" s="12"/>
      <c r="CD52" s="15">
        <v>0.5</v>
      </c>
      <c r="CE52" s="15"/>
      <c r="CF52" s="15"/>
      <c r="CG52" s="61">
        <f t="shared" si="5"/>
        <v>0</v>
      </c>
      <c r="CH52" s="66">
        <f t="shared" si="47"/>
        <v>0</v>
      </c>
      <c r="CI52" s="12">
        <f t="shared" si="47"/>
        <v>0</v>
      </c>
      <c r="CJ52" s="12">
        <f t="shared" si="47"/>
        <v>0</v>
      </c>
      <c r="CK52" s="12">
        <f t="shared" si="47"/>
        <v>0</v>
      </c>
      <c r="CL52" s="12">
        <f t="shared" si="47"/>
        <v>13500</v>
      </c>
      <c r="CM52" s="12">
        <f t="shared" si="47"/>
        <v>0</v>
      </c>
      <c r="CN52" s="16">
        <f t="shared" si="47"/>
        <v>0</v>
      </c>
      <c r="CO52" s="59">
        <f t="shared" si="193"/>
        <v>0</v>
      </c>
      <c r="CP52" s="69">
        <v>13500</v>
      </c>
      <c r="CQ52" s="68">
        <v>0.5</v>
      </c>
      <c r="CR52" s="12"/>
      <c r="CS52" s="12"/>
      <c r="CT52" s="12"/>
      <c r="CU52" s="12"/>
      <c r="CV52" s="15">
        <v>0.5</v>
      </c>
      <c r="CW52" s="15"/>
      <c r="CX52" s="15"/>
      <c r="CY52" s="61">
        <f t="shared" si="7"/>
        <v>0</v>
      </c>
      <c r="CZ52" s="66">
        <f t="shared" si="194"/>
        <v>0</v>
      </c>
      <c r="DA52" s="12">
        <f t="shared" si="194"/>
        <v>0</v>
      </c>
      <c r="DB52" s="12">
        <f t="shared" si="194"/>
        <v>0</v>
      </c>
      <c r="DC52" s="12">
        <f t="shared" si="194"/>
        <v>0</v>
      </c>
      <c r="DD52" s="12">
        <f t="shared" si="194"/>
        <v>13500</v>
      </c>
      <c r="DE52" s="12">
        <f t="shared" si="194"/>
        <v>0</v>
      </c>
      <c r="DF52" s="16">
        <f t="shared" si="194"/>
        <v>0</v>
      </c>
      <c r="DG52" s="59">
        <f t="shared" si="195"/>
        <v>0</v>
      </c>
      <c r="DH52" s="69">
        <v>13500</v>
      </c>
      <c r="DI52" s="68">
        <v>0.5</v>
      </c>
      <c r="DJ52" s="12"/>
      <c r="DK52" s="12"/>
      <c r="DL52" s="12"/>
      <c r="DM52" s="12"/>
      <c r="DN52" s="15">
        <v>0.5</v>
      </c>
      <c r="DO52" s="15"/>
      <c r="DP52" s="15"/>
      <c r="DQ52" s="61">
        <f t="shared" si="9"/>
        <v>0</v>
      </c>
      <c r="DR52" s="66">
        <f t="shared" si="48"/>
        <v>0</v>
      </c>
      <c r="DS52" s="12">
        <f t="shared" si="48"/>
        <v>0</v>
      </c>
      <c r="DT52" s="12">
        <f t="shared" si="48"/>
        <v>0</v>
      </c>
      <c r="DU52" s="12">
        <f t="shared" si="48"/>
        <v>0</v>
      </c>
      <c r="DV52" s="12">
        <f t="shared" si="48"/>
        <v>13500</v>
      </c>
      <c r="DW52" s="12">
        <f t="shared" si="48"/>
        <v>0</v>
      </c>
      <c r="DX52" s="16">
        <f t="shared" si="48"/>
        <v>0</v>
      </c>
      <c r="DY52" s="59">
        <f t="shared" si="196"/>
        <v>0</v>
      </c>
      <c r="DZ52" s="69">
        <v>13500</v>
      </c>
      <c r="EA52" s="68">
        <v>0.5</v>
      </c>
      <c r="EB52" s="12"/>
      <c r="EC52" s="12"/>
      <c r="ED52" s="12"/>
      <c r="EE52" s="15"/>
      <c r="EF52" s="15"/>
      <c r="EG52" s="15">
        <v>0.5</v>
      </c>
      <c r="EH52" s="61">
        <f t="shared" si="197"/>
        <v>0</v>
      </c>
      <c r="EI52" s="66">
        <f t="shared" si="275"/>
        <v>0</v>
      </c>
      <c r="EJ52" s="12">
        <f t="shared" si="275"/>
        <v>0</v>
      </c>
      <c r="EK52" s="12">
        <f t="shared" si="275"/>
        <v>0</v>
      </c>
      <c r="EL52" s="12">
        <f t="shared" si="275"/>
        <v>0</v>
      </c>
      <c r="EM52" s="12">
        <f t="shared" si="275"/>
        <v>0</v>
      </c>
      <c r="EN52" s="16">
        <f t="shared" si="275"/>
        <v>13500</v>
      </c>
      <c r="EO52" s="59">
        <f t="shared" si="198"/>
        <v>0</v>
      </c>
      <c r="EP52" s="69">
        <v>13500</v>
      </c>
      <c r="EQ52" s="68">
        <v>0.5</v>
      </c>
      <c r="ER52" s="12"/>
      <c r="ES52" s="12"/>
      <c r="ET52" s="15"/>
      <c r="EU52" s="15">
        <v>0.5</v>
      </c>
      <c r="EV52" s="61">
        <f t="shared" si="199"/>
        <v>0</v>
      </c>
      <c r="EW52" s="66">
        <f t="shared" si="49"/>
        <v>0</v>
      </c>
      <c r="EX52" s="12">
        <f t="shared" si="49"/>
        <v>0</v>
      </c>
      <c r="EY52" s="12">
        <f t="shared" si="49"/>
        <v>0</v>
      </c>
      <c r="EZ52" s="16">
        <f t="shared" si="49"/>
        <v>13500</v>
      </c>
      <c r="FA52" s="59">
        <f t="shared" si="200"/>
        <v>0</v>
      </c>
      <c r="FB52" s="69">
        <v>13500</v>
      </c>
      <c r="FC52" s="68">
        <v>0.5</v>
      </c>
      <c r="FD52" s="12"/>
      <c r="FE52" s="15"/>
      <c r="FF52" s="15">
        <v>0.5</v>
      </c>
      <c r="FG52" s="61">
        <f t="shared" si="201"/>
        <v>0</v>
      </c>
      <c r="FH52" s="66">
        <f t="shared" si="50"/>
        <v>0</v>
      </c>
      <c r="FI52" s="12">
        <f t="shared" si="50"/>
        <v>0</v>
      </c>
      <c r="FJ52" s="16">
        <f t="shared" si="50"/>
        <v>13500</v>
      </c>
      <c r="FK52" s="59">
        <f t="shared" si="202"/>
        <v>0</v>
      </c>
      <c r="FL52" s="69">
        <v>13500</v>
      </c>
      <c r="FM52" s="68">
        <v>0.5</v>
      </c>
      <c r="FN52" s="12"/>
      <c r="FO52" s="15"/>
      <c r="FP52" s="15"/>
      <c r="FQ52" s="15"/>
      <c r="FR52" s="15">
        <v>0.5</v>
      </c>
      <c r="FS52" s="61">
        <f t="shared" si="203"/>
        <v>0</v>
      </c>
      <c r="FT52" s="66">
        <f t="shared" si="296"/>
        <v>0</v>
      </c>
      <c r="FU52" s="12">
        <f t="shared" si="297"/>
        <v>0</v>
      </c>
      <c r="FV52" s="12">
        <f t="shared" si="206"/>
        <v>0</v>
      </c>
      <c r="FW52" s="12">
        <f t="shared" si="207"/>
        <v>0</v>
      </c>
      <c r="FX52" s="16">
        <f t="shared" si="51"/>
        <v>13500</v>
      </c>
      <c r="FY52" s="59">
        <f t="shared" si="52"/>
        <v>0</v>
      </c>
      <c r="FZ52" s="69">
        <v>13500</v>
      </c>
      <c r="GA52" s="68">
        <v>0.5</v>
      </c>
      <c r="GB52" s="12">
        <v>0.5</v>
      </c>
      <c r="GC52" s="15"/>
      <c r="GD52" s="15"/>
      <c r="GE52" s="15"/>
      <c r="GF52" s="61">
        <f t="shared" si="208"/>
        <v>0</v>
      </c>
      <c r="GG52" s="66">
        <f t="shared" si="53"/>
        <v>13500</v>
      </c>
      <c r="GH52" s="66">
        <f>IF($GA52&lt;&gt;0,GB52*$FZ52/$GA52,0)</f>
        <v>13500</v>
      </c>
      <c r="GI52" s="12">
        <f t="shared" si="289"/>
        <v>0</v>
      </c>
      <c r="GJ52" s="12">
        <f t="shared" si="179"/>
        <v>0</v>
      </c>
      <c r="GK52" s="31">
        <f t="shared" si="290"/>
        <v>0</v>
      </c>
      <c r="GL52" s="123">
        <f t="shared" si="291"/>
        <v>0</v>
      </c>
      <c r="GM52" s="410">
        <f t="shared" si="16"/>
        <v>0</v>
      </c>
      <c r="GN52" s="414">
        <v>13500</v>
      </c>
      <c r="GO52" s="68">
        <v>0.5</v>
      </c>
      <c r="GP52" s="12">
        <v>0.5</v>
      </c>
      <c r="GQ52" s="15"/>
      <c r="GR52" s="15"/>
      <c r="GS52" s="15"/>
      <c r="GT52" s="15"/>
      <c r="GU52" s="61">
        <f t="shared" si="54"/>
        <v>0</v>
      </c>
      <c r="GV52" s="66">
        <f t="shared" si="17"/>
        <v>13500</v>
      </c>
      <c r="GW52" s="12">
        <f t="shared" si="18"/>
        <v>0</v>
      </c>
      <c r="GX52" s="12">
        <f t="shared" si="19"/>
        <v>0</v>
      </c>
      <c r="GY52" s="12">
        <f t="shared" si="20"/>
        <v>0</v>
      </c>
      <c r="GZ52" s="16">
        <f t="shared" si="21"/>
        <v>0</v>
      </c>
      <c r="HA52" s="59">
        <f t="shared" si="55"/>
        <v>0</v>
      </c>
      <c r="HB52" s="69">
        <v>15000</v>
      </c>
      <c r="HC52" s="68">
        <v>0.5</v>
      </c>
      <c r="HD52" s="12"/>
      <c r="HE52" s="15"/>
      <c r="HF52" s="15"/>
      <c r="HG52" s="15"/>
      <c r="HH52" s="15"/>
      <c r="HI52" s="15"/>
      <c r="HJ52" s="15">
        <v>0.5</v>
      </c>
      <c r="HK52" s="15"/>
      <c r="HL52" s="61">
        <f t="shared" si="56"/>
        <v>0</v>
      </c>
      <c r="HM52" s="66">
        <f t="shared" si="22"/>
        <v>0</v>
      </c>
      <c r="HN52" s="12">
        <f t="shared" si="23"/>
        <v>0</v>
      </c>
      <c r="HO52" s="12">
        <f t="shared" si="24"/>
        <v>0</v>
      </c>
      <c r="HP52" s="12">
        <f t="shared" si="25"/>
        <v>0</v>
      </c>
      <c r="HQ52" s="12">
        <f t="shared" si="26"/>
        <v>0</v>
      </c>
      <c r="HR52" s="12">
        <f t="shared" si="27"/>
        <v>0</v>
      </c>
      <c r="HS52" s="12">
        <f t="shared" si="28"/>
        <v>15000</v>
      </c>
      <c r="HT52" s="16">
        <f t="shared" si="29"/>
        <v>0</v>
      </c>
      <c r="HU52" s="59">
        <f t="shared" si="57"/>
        <v>0</v>
      </c>
      <c r="HV52" s="69">
        <v>13500</v>
      </c>
      <c r="HW52" s="68">
        <v>0.5</v>
      </c>
      <c r="HX52" s="12"/>
      <c r="HY52" s="15"/>
      <c r="HZ52" s="61">
        <f t="shared" si="58"/>
        <v>0.5</v>
      </c>
      <c r="IA52" s="66">
        <f t="shared" si="59"/>
        <v>0</v>
      </c>
      <c r="IB52" s="16">
        <f t="shared" si="59"/>
        <v>0</v>
      </c>
      <c r="IC52" s="59">
        <f t="shared" si="60"/>
        <v>13500</v>
      </c>
      <c r="ID52" s="129">
        <f>714.29+12986.96</f>
        <v>13701.25</v>
      </c>
      <c r="IE52" s="68">
        <v>0.5</v>
      </c>
      <c r="IF52" s="12"/>
      <c r="IG52" s="15"/>
      <c r="IH52" s="15"/>
      <c r="II52" s="15"/>
      <c r="IJ52" s="15"/>
      <c r="IK52" s="15"/>
      <c r="IL52" s="15">
        <v>0.5</v>
      </c>
      <c r="IM52" s="15"/>
      <c r="IN52" s="15"/>
      <c r="IO52" s="61">
        <f t="shared" si="61"/>
        <v>0</v>
      </c>
      <c r="IP52" s="66">
        <f t="shared" si="62"/>
        <v>0</v>
      </c>
      <c r="IQ52" s="12">
        <f t="shared" si="63"/>
        <v>0</v>
      </c>
      <c r="IR52" s="12">
        <f t="shared" si="64"/>
        <v>0</v>
      </c>
      <c r="IS52" s="12">
        <f t="shared" si="65"/>
        <v>0</v>
      </c>
      <c r="IT52" s="12">
        <f t="shared" si="66"/>
        <v>0</v>
      </c>
      <c r="IU52" s="12">
        <f t="shared" si="67"/>
        <v>0</v>
      </c>
      <c r="IV52" s="12">
        <f t="shared" si="68"/>
        <v>13701.25</v>
      </c>
      <c r="IW52" s="15">
        <f t="shared" si="69"/>
        <v>0</v>
      </c>
      <c r="IX52" s="16">
        <f t="shared" si="69"/>
        <v>0</v>
      </c>
      <c r="IY52" s="59">
        <f t="shared" si="70"/>
        <v>0</v>
      </c>
      <c r="IZ52" s="129">
        <v>15000</v>
      </c>
      <c r="JA52" s="68">
        <v>0.5</v>
      </c>
      <c r="JB52" s="12"/>
      <c r="JC52" s="15"/>
      <c r="JD52" s="15"/>
      <c r="JE52" s="15"/>
      <c r="JF52" s="15"/>
      <c r="JG52" s="15"/>
      <c r="JH52" s="15">
        <v>0.5</v>
      </c>
      <c r="JI52" s="15"/>
      <c r="JJ52" s="15"/>
      <c r="JK52" s="61">
        <f t="shared" si="295"/>
        <v>0</v>
      </c>
      <c r="JL52" s="66">
        <f t="shared" si="72"/>
        <v>0</v>
      </c>
      <c r="JM52" s="12">
        <f t="shared" si="276"/>
        <v>0</v>
      </c>
      <c r="JN52" s="12">
        <f t="shared" si="277"/>
        <v>0</v>
      </c>
      <c r="JO52" s="12">
        <f t="shared" si="278"/>
        <v>0</v>
      </c>
      <c r="JP52" s="12">
        <f t="shared" si="279"/>
        <v>0</v>
      </c>
      <c r="JQ52" s="12">
        <f t="shared" si="280"/>
        <v>0</v>
      </c>
      <c r="JR52" s="12">
        <f t="shared" si="281"/>
        <v>15000</v>
      </c>
      <c r="JS52" s="12">
        <f t="shared" si="282"/>
        <v>0</v>
      </c>
      <c r="JT52" s="16">
        <f t="shared" si="283"/>
        <v>0</v>
      </c>
      <c r="JU52" s="59">
        <f t="shared" si="81"/>
        <v>0</v>
      </c>
      <c r="JV52" s="129">
        <v>15000</v>
      </c>
      <c r="JW52" s="68">
        <v>0.5</v>
      </c>
      <c r="JX52" s="12"/>
      <c r="JY52" s="12"/>
      <c r="JZ52" s="15"/>
      <c r="KA52" s="15"/>
      <c r="KB52" s="15"/>
      <c r="KC52" s="15"/>
      <c r="KD52" s="15">
        <v>0.5</v>
      </c>
      <c r="KE52" s="15"/>
      <c r="KF52" s="15"/>
      <c r="KG52" s="61">
        <f t="shared" si="82"/>
        <v>0</v>
      </c>
      <c r="KH52" s="146">
        <f t="shared" si="83"/>
        <v>0</v>
      </c>
      <c r="KI52" s="12">
        <f t="shared" si="83"/>
        <v>0</v>
      </c>
      <c r="KJ52" s="12">
        <f t="shared" si="84"/>
        <v>0</v>
      </c>
      <c r="KK52" s="12">
        <f t="shared" si="85"/>
        <v>0</v>
      </c>
      <c r="KL52" s="12">
        <f t="shared" si="86"/>
        <v>0</v>
      </c>
      <c r="KM52" s="12">
        <f t="shared" si="87"/>
        <v>0</v>
      </c>
      <c r="KN52" s="12">
        <f t="shared" si="88"/>
        <v>15000</v>
      </c>
      <c r="KO52" s="12">
        <f t="shared" si="89"/>
        <v>0</v>
      </c>
      <c r="KP52" s="16">
        <f t="shared" si="90"/>
        <v>0</v>
      </c>
      <c r="KQ52" s="59">
        <f t="shared" si="91"/>
        <v>0</v>
      </c>
      <c r="KR52" s="129">
        <v>15000</v>
      </c>
      <c r="KS52" s="68">
        <v>0.5</v>
      </c>
      <c r="KT52" s="12"/>
      <c r="KU52" s="15"/>
      <c r="KV52" s="15"/>
      <c r="KW52" s="15"/>
      <c r="KX52" s="15"/>
      <c r="KY52" s="15">
        <v>0.5</v>
      </c>
      <c r="KZ52" s="15"/>
      <c r="LA52" s="15"/>
      <c r="LB52" s="61">
        <f t="shared" si="92"/>
        <v>0</v>
      </c>
      <c r="LC52" s="66">
        <f t="shared" si="93"/>
        <v>0</v>
      </c>
      <c r="LD52" s="12">
        <f t="shared" si="94"/>
        <v>0</v>
      </c>
      <c r="LE52" s="12">
        <f t="shared" si="95"/>
        <v>0</v>
      </c>
      <c r="LF52" s="12">
        <f t="shared" si="96"/>
        <v>0</v>
      </c>
      <c r="LG52" s="12">
        <f t="shared" si="97"/>
        <v>0</v>
      </c>
      <c r="LH52" s="12">
        <f t="shared" si="98"/>
        <v>15000</v>
      </c>
      <c r="LI52" s="12">
        <f t="shared" si="99"/>
        <v>0</v>
      </c>
      <c r="LJ52" s="16">
        <f t="shared" si="100"/>
        <v>0</v>
      </c>
      <c r="LK52" s="59">
        <f t="shared" si="101"/>
        <v>0</v>
      </c>
      <c r="LL52" s="129">
        <v>15000</v>
      </c>
      <c r="LM52" s="68">
        <v>0.5</v>
      </c>
      <c r="LN52" s="15"/>
      <c r="LO52" s="15"/>
      <c r="LP52" s="15"/>
      <c r="LQ52" s="15"/>
      <c r="LR52" s="15">
        <v>0.5</v>
      </c>
      <c r="LS52" s="15"/>
      <c r="LT52" s="15"/>
      <c r="LU52" s="61">
        <f t="shared" si="102"/>
        <v>0</v>
      </c>
      <c r="LV52" s="66">
        <f t="shared" si="103"/>
        <v>0</v>
      </c>
      <c r="LW52" s="12">
        <f t="shared" si="104"/>
        <v>0</v>
      </c>
      <c r="LX52" s="12">
        <f t="shared" si="105"/>
        <v>0</v>
      </c>
      <c r="LY52" s="12">
        <f t="shared" si="106"/>
        <v>0</v>
      </c>
      <c r="LZ52" s="12">
        <f t="shared" si="107"/>
        <v>15000</v>
      </c>
      <c r="MA52" s="12">
        <f t="shared" si="108"/>
        <v>0</v>
      </c>
      <c r="MB52" s="16">
        <f t="shared" si="109"/>
        <v>0</v>
      </c>
      <c r="MC52" s="59">
        <f t="shared" si="110"/>
        <v>0</v>
      </c>
      <c r="MD52" s="129">
        <v>15000</v>
      </c>
      <c r="ME52" s="68">
        <v>0.5</v>
      </c>
      <c r="MF52" s="15"/>
      <c r="MG52" s="15"/>
      <c r="MH52" s="15"/>
      <c r="MI52" s="15">
        <v>0.5</v>
      </c>
      <c r="MJ52" s="15"/>
      <c r="MK52" s="15"/>
      <c r="ML52" s="15"/>
      <c r="MM52" s="61">
        <f t="shared" si="111"/>
        <v>0</v>
      </c>
      <c r="MN52" s="66">
        <f t="shared" si="112"/>
        <v>0</v>
      </c>
      <c r="MO52" s="12">
        <f t="shared" si="113"/>
        <v>0</v>
      </c>
      <c r="MP52" s="12">
        <f t="shared" si="114"/>
        <v>0</v>
      </c>
      <c r="MQ52" s="12">
        <f t="shared" si="115"/>
        <v>15000</v>
      </c>
      <c r="MR52" s="12">
        <f t="shared" si="116"/>
        <v>0</v>
      </c>
      <c r="MS52" s="12">
        <f t="shared" si="116"/>
        <v>0</v>
      </c>
      <c r="MT52" s="16">
        <f t="shared" si="117"/>
        <v>0</v>
      </c>
      <c r="MU52" s="59">
        <f t="shared" si="189"/>
        <v>0</v>
      </c>
      <c r="MV52" s="617">
        <v>15000</v>
      </c>
      <c r="MW52" s="619">
        <v>0.5</v>
      </c>
      <c r="MX52" s="15"/>
      <c r="MY52" s="15"/>
      <c r="MZ52" s="15">
        <v>0.2</v>
      </c>
      <c r="NA52" s="15">
        <v>0.3</v>
      </c>
      <c r="NB52" s="15"/>
      <c r="NC52" s="15"/>
      <c r="ND52" s="15"/>
      <c r="NE52" s="61">
        <f t="shared" si="118"/>
        <v>0</v>
      </c>
      <c r="NF52" s="66">
        <f t="shared" si="119"/>
        <v>0</v>
      </c>
      <c r="NG52" s="12">
        <f t="shared" si="120"/>
        <v>0</v>
      </c>
      <c r="NH52" s="12">
        <f t="shared" si="121"/>
        <v>6000</v>
      </c>
      <c r="NI52" s="12">
        <f t="shared" si="122"/>
        <v>9000</v>
      </c>
      <c r="NJ52" s="12">
        <f t="shared" si="123"/>
        <v>0</v>
      </c>
      <c r="NK52" s="12">
        <f t="shared" si="123"/>
        <v>0</v>
      </c>
      <c r="NL52" s="16">
        <f t="shared" si="124"/>
        <v>0</v>
      </c>
      <c r="NM52" s="59">
        <f t="shared" si="125"/>
        <v>0</v>
      </c>
      <c r="NN52" s="617">
        <v>15000</v>
      </c>
      <c r="NO52" s="619">
        <v>0.5</v>
      </c>
      <c r="NP52" s="15"/>
      <c r="NQ52" s="15">
        <v>0.5</v>
      </c>
      <c r="NR52" s="15"/>
      <c r="NS52" s="15"/>
      <c r="NT52" s="15"/>
      <c r="NU52" s="61">
        <f t="shared" si="126"/>
        <v>0</v>
      </c>
      <c r="NV52" s="66">
        <f t="shared" si="190"/>
        <v>0</v>
      </c>
      <c r="NW52" s="12">
        <f t="shared" si="209"/>
        <v>15000</v>
      </c>
      <c r="NX52" s="12">
        <f t="shared" si="210"/>
        <v>0</v>
      </c>
      <c r="NY52" s="12">
        <f t="shared" si="211"/>
        <v>0</v>
      </c>
      <c r="NZ52" s="16">
        <f t="shared" si="212"/>
        <v>0</v>
      </c>
      <c r="OA52" s="59">
        <f t="shared" si="131"/>
        <v>0</v>
      </c>
      <c r="OB52" s="131">
        <v>15000</v>
      </c>
      <c r="OC52" s="133">
        <v>0.5</v>
      </c>
      <c r="OD52" s="15"/>
      <c r="OE52" s="15">
        <v>0.5</v>
      </c>
      <c r="OF52" s="15"/>
      <c r="OG52" s="15"/>
      <c r="OH52" s="15"/>
      <c r="OI52" s="61">
        <f t="shared" si="163"/>
        <v>0</v>
      </c>
      <c r="OJ52" s="66">
        <f t="shared" si="132"/>
        <v>0</v>
      </c>
      <c r="OK52" s="12">
        <f t="shared" si="133"/>
        <v>15000</v>
      </c>
      <c r="OL52" s="12">
        <f t="shared" si="134"/>
        <v>0</v>
      </c>
      <c r="OM52" s="12">
        <f t="shared" si="135"/>
        <v>0</v>
      </c>
      <c r="ON52" s="16">
        <f t="shared" si="136"/>
        <v>0</v>
      </c>
      <c r="OO52" s="59">
        <f t="shared" si="137"/>
        <v>0</v>
      </c>
      <c r="OP52" s="131">
        <v>15000</v>
      </c>
      <c r="OQ52" s="133">
        <v>0.5</v>
      </c>
      <c r="OR52" s="15"/>
      <c r="OS52" s="15"/>
      <c r="OT52" s="15"/>
      <c r="OU52" s="15"/>
      <c r="OV52" s="15"/>
      <c r="OW52" s="61">
        <f t="shared" si="138"/>
        <v>0.5</v>
      </c>
      <c r="OX52" s="66">
        <f t="shared" si="139"/>
        <v>0</v>
      </c>
      <c r="OY52" s="12">
        <f t="shared" si="140"/>
        <v>0</v>
      </c>
      <c r="OZ52" s="12">
        <f t="shared" si="141"/>
        <v>0</v>
      </c>
      <c r="PA52" s="12">
        <f t="shared" si="142"/>
        <v>0</v>
      </c>
      <c r="PB52" s="16">
        <f t="shared" si="143"/>
        <v>0</v>
      </c>
      <c r="PC52" s="59">
        <f t="shared" si="144"/>
        <v>15000</v>
      </c>
      <c r="PD52" s="131">
        <v>15000</v>
      </c>
      <c r="PE52" s="133">
        <v>0.5</v>
      </c>
      <c r="PF52" s="15"/>
      <c r="PG52" s="15"/>
      <c r="PH52" s="15"/>
      <c r="PI52" s="15"/>
      <c r="PJ52" s="15"/>
      <c r="PK52" s="61">
        <f t="shared" si="145"/>
        <v>0.5</v>
      </c>
      <c r="PL52" s="66">
        <f t="shared" si="174"/>
        <v>0</v>
      </c>
      <c r="PM52" s="12">
        <f t="shared" si="175"/>
        <v>0</v>
      </c>
      <c r="PN52" s="12">
        <f t="shared" si="176"/>
        <v>0</v>
      </c>
      <c r="PO52" s="12">
        <f t="shared" si="177"/>
        <v>0</v>
      </c>
      <c r="PP52" s="16">
        <f t="shared" si="178"/>
        <v>0</v>
      </c>
      <c r="PQ52" s="59">
        <f t="shared" si="150"/>
        <v>15000</v>
      </c>
      <c r="PS52" s="884">
        <f t="shared" si="151"/>
        <v>0</v>
      </c>
    </row>
    <row r="53" spans="2:435" x14ac:dyDescent="0.2">
      <c r="B53" s="24">
        <v>41</v>
      </c>
      <c r="C53" s="25" t="s">
        <v>214</v>
      </c>
      <c r="D53" s="26"/>
      <c r="E53" s="42"/>
      <c r="F53" s="31"/>
      <c r="G53" s="12"/>
      <c r="H53" s="12"/>
      <c r="I53" s="12"/>
      <c r="J53" s="12"/>
      <c r="K53" s="12"/>
      <c r="L53" s="15"/>
      <c r="M53" s="61"/>
      <c r="N53" s="31"/>
      <c r="O53" s="12"/>
      <c r="P53" s="12"/>
      <c r="Q53" s="12"/>
      <c r="R53" s="12"/>
      <c r="S53" s="12"/>
      <c r="T53" s="15"/>
      <c r="U53" s="59"/>
      <c r="V53" s="26"/>
      <c r="W53" s="42"/>
      <c r="X53" s="31"/>
      <c r="Y53" s="12"/>
      <c r="Z53" s="12"/>
      <c r="AA53" s="12"/>
      <c r="AB53" s="12"/>
      <c r="AC53" s="12"/>
      <c r="AD53" s="15"/>
      <c r="AE53" s="15"/>
      <c r="AF53" s="61"/>
      <c r="AG53" s="35"/>
      <c r="AH53" s="35"/>
      <c r="AI53" s="35"/>
      <c r="AJ53" s="35"/>
      <c r="AK53" s="35"/>
      <c r="AL53" s="35"/>
      <c r="AM53" s="35"/>
      <c r="AN53" s="35"/>
      <c r="AO53" s="62"/>
      <c r="AP53" s="26"/>
      <c r="AQ53" s="42"/>
      <c r="AR53" s="12"/>
      <c r="AS53" s="12"/>
      <c r="AT53" s="12"/>
      <c r="AU53" s="12"/>
      <c r="AV53" s="15"/>
      <c r="AW53" s="15"/>
      <c r="AX53" s="61"/>
      <c r="AY53" s="35"/>
      <c r="AZ53" s="35"/>
      <c r="BA53" s="35"/>
      <c r="BB53" s="35"/>
      <c r="BC53" s="35"/>
      <c r="BD53" s="34"/>
      <c r="BE53" s="59"/>
      <c r="BF53" s="26"/>
      <c r="BG53" s="42"/>
      <c r="BH53" s="12"/>
      <c r="BI53" s="12"/>
      <c r="BJ53" s="12"/>
      <c r="BK53" s="12"/>
      <c r="BL53" s="15"/>
      <c r="BM53" s="15"/>
      <c r="BN53" s="15"/>
      <c r="BO53" s="61"/>
      <c r="BP53" s="65"/>
      <c r="BQ53" s="33"/>
      <c r="BR53" s="33"/>
      <c r="BS53" s="33"/>
      <c r="BT53" s="33"/>
      <c r="BU53" s="33"/>
      <c r="BV53" s="34"/>
      <c r="BW53" s="59"/>
      <c r="BX53" s="69"/>
      <c r="BY53" s="68"/>
      <c r="BZ53" s="31"/>
      <c r="CA53" s="12"/>
      <c r="CB53" s="12"/>
      <c r="CC53" s="12"/>
      <c r="CD53" s="15"/>
      <c r="CE53" s="15"/>
      <c r="CF53" s="15"/>
      <c r="CG53" s="61"/>
      <c r="CH53" s="66"/>
      <c r="CI53" s="12"/>
      <c r="CJ53" s="12"/>
      <c r="CK53" s="12"/>
      <c r="CL53" s="12"/>
      <c r="CM53" s="12"/>
      <c r="CN53" s="16"/>
      <c r="CO53" s="59"/>
      <c r="CP53" s="69"/>
      <c r="CQ53" s="68"/>
      <c r="CR53" s="12"/>
      <c r="CS53" s="12"/>
      <c r="CT53" s="12"/>
      <c r="CU53" s="12"/>
      <c r="CV53" s="15"/>
      <c r="CW53" s="15"/>
      <c r="CX53" s="15"/>
      <c r="CY53" s="61"/>
      <c r="CZ53" s="66"/>
      <c r="DA53" s="12"/>
      <c r="DB53" s="12"/>
      <c r="DC53" s="12"/>
      <c r="DD53" s="12"/>
      <c r="DE53" s="12"/>
      <c r="DF53" s="16"/>
      <c r="DG53" s="59"/>
      <c r="DH53" s="69"/>
      <c r="DI53" s="68"/>
      <c r="DJ53" s="12"/>
      <c r="DK53" s="12"/>
      <c r="DL53" s="12"/>
      <c r="DM53" s="12"/>
      <c r="DN53" s="15"/>
      <c r="DO53" s="15"/>
      <c r="DP53" s="15"/>
      <c r="DQ53" s="61"/>
      <c r="DR53" s="66"/>
      <c r="DS53" s="12"/>
      <c r="DT53" s="12"/>
      <c r="DU53" s="12"/>
      <c r="DV53" s="12"/>
      <c r="DW53" s="12"/>
      <c r="DX53" s="16"/>
      <c r="DY53" s="59"/>
      <c r="DZ53" s="69"/>
      <c r="EA53" s="68"/>
      <c r="EB53" s="12"/>
      <c r="EC53" s="12"/>
      <c r="ED53" s="12"/>
      <c r="EE53" s="15"/>
      <c r="EF53" s="15"/>
      <c r="EG53" s="15"/>
      <c r="EH53" s="61"/>
      <c r="EI53" s="66"/>
      <c r="EJ53" s="12"/>
      <c r="EK53" s="12"/>
      <c r="EL53" s="12"/>
      <c r="EM53" s="12"/>
      <c r="EN53" s="16"/>
      <c r="EO53" s="59"/>
      <c r="EP53" s="69"/>
      <c r="EQ53" s="68"/>
      <c r="ER53" s="12"/>
      <c r="ES53" s="12"/>
      <c r="ET53" s="15"/>
      <c r="EU53" s="15"/>
      <c r="EV53" s="61"/>
      <c r="EW53" s="66"/>
      <c r="EX53" s="12"/>
      <c r="EY53" s="12"/>
      <c r="EZ53" s="16"/>
      <c r="FA53" s="59"/>
      <c r="FB53" s="69"/>
      <c r="FC53" s="68"/>
      <c r="FD53" s="12"/>
      <c r="FE53" s="15"/>
      <c r="FF53" s="15"/>
      <c r="FG53" s="61"/>
      <c r="FH53" s="66"/>
      <c r="FI53" s="12"/>
      <c r="FJ53" s="16"/>
      <c r="FK53" s="59"/>
      <c r="FL53" s="69"/>
      <c r="FM53" s="68"/>
      <c r="FN53" s="12"/>
      <c r="FO53" s="15"/>
      <c r="FP53" s="15"/>
      <c r="FQ53" s="15"/>
      <c r="FR53" s="15"/>
      <c r="FS53" s="61"/>
      <c r="FT53" s="66"/>
      <c r="FU53" s="12"/>
      <c r="FV53" s="12"/>
      <c r="FW53" s="12"/>
      <c r="FX53" s="16"/>
      <c r="FY53" s="59"/>
      <c r="FZ53" s="69"/>
      <c r="GA53" s="68"/>
      <c r="GB53" s="12"/>
      <c r="GC53" s="15"/>
      <c r="GD53" s="15"/>
      <c r="GE53" s="15"/>
      <c r="GF53" s="61"/>
      <c r="GG53" s="66"/>
      <c r="GH53" s="66"/>
      <c r="GI53" s="12"/>
      <c r="GJ53" s="12">
        <f>IF($GA53&lt;&gt;0,GC53*$FZ53/$GA53,0)</f>
        <v>0</v>
      </c>
      <c r="GK53" s="31"/>
      <c r="GL53" s="123"/>
      <c r="GM53" s="410"/>
      <c r="GN53" s="414"/>
      <c r="GO53" s="68"/>
      <c r="GP53" s="12"/>
      <c r="GQ53" s="15"/>
      <c r="GR53" s="15"/>
      <c r="GS53" s="15"/>
      <c r="GT53" s="15"/>
      <c r="GU53" s="61"/>
      <c r="GV53" s="66"/>
      <c r="GW53" s="12"/>
      <c r="GX53" s="12"/>
      <c r="GY53" s="12"/>
      <c r="GZ53" s="16"/>
      <c r="HA53" s="59"/>
      <c r="HB53" s="69"/>
      <c r="HC53" s="68"/>
      <c r="HD53" s="12"/>
      <c r="HE53" s="15"/>
      <c r="HF53" s="15"/>
      <c r="HG53" s="15"/>
      <c r="HH53" s="15"/>
      <c r="HI53" s="15"/>
      <c r="HJ53" s="15"/>
      <c r="HK53" s="15"/>
      <c r="HL53" s="61"/>
      <c r="HM53" s="66"/>
      <c r="HN53" s="12"/>
      <c r="HO53" s="12"/>
      <c r="HP53" s="12"/>
      <c r="HQ53" s="12"/>
      <c r="HR53" s="12"/>
      <c r="HS53" s="12"/>
      <c r="HT53" s="16"/>
      <c r="HU53" s="59"/>
      <c r="HV53" s="69"/>
      <c r="HW53" s="68"/>
      <c r="HX53" s="12"/>
      <c r="HY53" s="15"/>
      <c r="HZ53" s="61"/>
      <c r="IA53" s="66"/>
      <c r="IB53" s="16"/>
      <c r="IC53" s="59"/>
      <c r="ID53" s="69"/>
      <c r="IE53" s="68"/>
      <c r="IF53" s="12"/>
      <c r="IG53" s="15"/>
      <c r="IH53" s="15"/>
      <c r="II53" s="15"/>
      <c r="IJ53" s="15"/>
      <c r="IK53" s="15"/>
      <c r="IL53" s="15"/>
      <c r="IM53" s="15"/>
      <c r="IN53" s="15"/>
      <c r="IO53" s="61"/>
      <c r="IP53" s="66"/>
      <c r="IQ53" s="12"/>
      <c r="IR53" s="12"/>
      <c r="IS53" s="12"/>
      <c r="IT53" s="12"/>
      <c r="IU53" s="12"/>
      <c r="IV53" s="12"/>
      <c r="IW53" s="15"/>
      <c r="IX53" s="16"/>
      <c r="IY53" s="59"/>
      <c r="IZ53" s="69"/>
      <c r="JA53" s="68"/>
      <c r="JB53" s="12"/>
      <c r="JC53" s="15"/>
      <c r="JD53" s="15"/>
      <c r="JE53" s="15"/>
      <c r="JF53" s="15"/>
      <c r="JG53" s="15"/>
      <c r="JH53" s="15"/>
      <c r="JI53" s="15"/>
      <c r="JJ53" s="15"/>
      <c r="JK53" s="61"/>
      <c r="JL53" s="66"/>
      <c r="JM53" s="12">
        <f>IF($JA53&lt;&gt;0,JC53*$IZ53/$JA53,0)</f>
        <v>0</v>
      </c>
      <c r="JN53" s="12"/>
      <c r="JO53" s="12"/>
      <c r="JP53" s="12"/>
      <c r="JQ53" s="12"/>
      <c r="JR53" s="12"/>
      <c r="JS53" s="12"/>
      <c r="JT53" s="16"/>
      <c r="JU53" s="59">
        <f>IZ53-JL53-JM53-JN53-JO53-JP53-JQ53-JR53-JS53-JT53</f>
        <v>0</v>
      </c>
      <c r="JV53" s="69"/>
      <c r="JW53" s="68"/>
      <c r="JX53" s="12"/>
      <c r="JY53" s="12"/>
      <c r="JZ53" s="15"/>
      <c r="KA53" s="15"/>
      <c r="KB53" s="15"/>
      <c r="KC53" s="15"/>
      <c r="KD53" s="15"/>
      <c r="KE53" s="15"/>
      <c r="KF53" s="15"/>
      <c r="KG53" s="61">
        <f>JW53-JX53-JZ53-KA53-KB53-KC53-KD53-KE53-KF53-JY53</f>
        <v>0</v>
      </c>
      <c r="KH53" s="146">
        <f t="shared" ref="KH53:KP53" si="303">IF($JW53&lt;&gt;0,JX53*$JV53/$JW53,0)</f>
        <v>0</v>
      </c>
      <c r="KI53" s="12">
        <f t="shared" si="303"/>
        <v>0</v>
      </c>
      <c r="KJ53" s="12">
        <f t="shared" si="303"/>
        <v>0</v>
      </c>
      <c r="KK53" s="12">
        <f t="shared" si="303"/>
        <v>0</v>
      </c>
      <c r="KL53" s="12">
        <f t="shared" si="303"/>
        <v>0</v>
      </c>
      <c r="KM53" s="12">
        <f t="shared" si="303"/>
        <v>0</v>
      </c>
      <c r="KN53" s="12">
        <f t="shared" si="303"/>
        <v>0</v>
      </c>
      <c r="KO53" s="12">
        <f t="shared" si="303"/>
        <v>0</v>
      </c>
      <c r="KP53" s="16">
        <f t="shared" si="303"/>
        <v>0</v>
      </c>
      <c r="KQ53" s="59">
        <f>JV53-KH53-KJ53-KK53-KL53-KM53-KN53-KO53-KP53-KI53</f>
        <v>0</v>
      </c>
      <c r="KR53" s="69"/>
      <c r="KS53" s="68"/>
      <c r="KT53" s="12"/>
      <c r="KU53" s="15"/>
      <c r="KV53" s="15"/>
      <c r="KW53" s="15"/>
      <c r="KX53" s="15"/>
      <c r="KY53" s="15"/>
      <c r="KZ53" s="15"/>
      <c r="LA53" s="15"/>
      <c r="LB53" s="61">
        <f>KS53-KT53-KU53-KV53-KW53-KX53-KY53-KZ53-LA53</f>
        <v>0</v>
      </c>
      <c r="LC53" s="66">
        <f t="shared" ref="LC53:LJ53" si="304">IF($KS53&lt;&gt;0,KT53*$KR53/$KS53,0)</f>
        <v>0</v>
      </c>
      <c r="LD53" s="12">
        <f t="shared" si="304"/>
        <v>0</v>
      </c>
      <c r="LE53" s="12">
        <f t="shared" si="304"/>
        <v>0</v>
      </c>
      <c r="LF53" s="12">
        <f t="shared" si="304"/>
        <v>0</v>
      </c>
      <c r="LG53" s="12">
        <f t="shared" si="304"/>
        <v>0</v>
      </c>
      <c r="LH53" s="12">
        <f t="shared" si="304"/>
        <v>0</v>
      </c>
      <c r="LI53" s="12">
        <f t="shared" si="304"/>
        <v>0</v>
      </c>
      <c r="LJ53" s="16">
        <f t="shared" si="304"/>
        <v>0</v>
      </c>
      <c r="LK53" s="59">
        <f>KR53-LC53-LD53-LE53-LF53-LG53-LH53-LI53-LJ53</f>
        <v>0</v>
      </c>
      <c r="LL53" s="69">
        <v>20000</v>
      </c>
      <c r="LM53" s="68">
        <v>0.5</v>
      </c>
      <c r="LN53" s="15"/>
      <c r="LO53" s="15"/>
      <c r="LP53" s="15"/>
      <c r="LQ53" s="15">
        <v>0.5</v>
      </c>
      <c r="LR53" s="15"/>
      <c r="LS53" s="15"/>
      <c r="LT53" s="15"/>
      <c r="LU53" s="61">
        <f>LM53-LN53-LO53-LP53-LQ53-LR53-LS53-LT53</f>
        <v>0</v>
      </c>
      <c r="LV53" s="66">
        <f t="shared" ref="LV53:MB53" si="305">IF($LM53&lt;&gt;0,LN53*$LL53/$LM53,0)</f>
        <v>0</v>
      </c>
      <c r="LW53" s="12">
        <f t="shared" si="305"/>
        <v>0</v>
      </c>
      <c r="LX53" s="12">
        <f t="shared" si="305"/>
        <v>0</v>
      </c>
      <c r="LY53" s="12">
        <f t="shared" si="305"/>
        <v>20000</v>
      </c>
      <c r="LZ53" s="12">
        <f t="shared" si="305"/>
        <v>0</v>
      </c>
      <c r="MA53" s="12">
        <f t="shared" si="305"/>
        <v>0</v>
      </c>
      <c r="MB53" s="16">
        <f t="shared" si="305"/>
        <v>0</v>
      </c>
      <c r="MC53" s="59">
        <f>LL53-LV53-LW53-LX53-LY53-LZ53-MA53-MB53</f>
        <v>0</v>
      </c>
      <c r="MD53" s="69">
        <v>20000</v>
      </c>
      <c r="ME53" s="68">
        <v>0.5</v>
      </c>
      <c r="MF53" s="15"/>
      <c r="MG53" s="15"/>
      <c r="MH53" s="15">
        <v>0.5</v>
      </c>
      <c r="MI53" s="15"/>
      <c r="MJ53" s="15"/>
      <c r="MK53" s="15"/>
      <c r="ML53" s="15"/>
      <c r="MM53" s="61">
        <f t="shared" si="111"/>
        <v>0</v>
      </c>
      <c r="MN53" s="66">
        <f t="shared" ref="MN53:MT53" si="306">IF($ME53&lt;&gt;0,MF53*$MD53/$ME53,0)</f>
        <v>0</v>
      </c>
      <c r="MO53" s="12">
        <f t="shared" si="306"/>
        <v>0</v>
      </c>
      <c r="MP53" s="12">
        <f t="shared" si="306"/>
        <v>20000</v>
      </c>
      <c r="MQ53" s="12">
        <f t="shared" si="306"/>
        <v>0</v>
      </c>
      <c r="MR53" s="12">
        <f t="shared" si="306"/>
        <v>0</v>
      </c>
      <c r="MS53" s="12">
        <f t="shared" si="306"/>
        <v>0</v>
      </c>
      <c r="MT53" s="16">
        <f t="shared" si="306"/>
        <v>0</v>
      </c>
      <c r="MU53" s="59">
        <f>MD53-MN53-MO53-MP53-MQ53-MR53-MS53-MT53</f>
        <v>0</v>
      </c>
      <c r="MV53" s="620">
        <v>20000</v>
      </c>
      <c r="MW53" s="619">
        <v>0.5</v>
      </c>
      <c r="MX53" s="15"/>
      <c r="MY53" s="15"/>
      <c r="MZ53" s="15">
        <v>0.5</v>
      </c>
      <c r="NA53" s="15"/>
      <c r="NB53" s="15"/>
      <c r="NC53" s="15"/>
      <c r="ND53" s="15"/>
      <c r="NE53" s="61">
        <f t="shared" si="118"/>
        <v>0</v>
      </c>
      <c r="NF53" s="66">
        <f t="shared" ref="NF53:NL53" si="307">IF($MW53&lt;&gt;0,MX53*$MV53/$MW53,0)</f>
        <v>0</v>
      </c>
      <c r="NG53" s="12">
        <f t="shared" si="307"/>
        <v>0</v>
      </c>
      <c r="NH53" s="12">
        <f t="shared" si="307"/>
        <v>20000</v>
      </c>
      <c r="NI53" s="12">
        <f t="shared" si="307"/>
        <v>0</v>
      </c>
      <c r="NJ53" s="12">
        <f t="shared" si="307"/>
        <v>0</v>
      </c>
      <c r="NK53" s="12">
        <f t="shared" si="307"/>
        <v>0</v>
      </c>
      <c r="NL53" s="16">
        <f t="shared" si="307"/>
        <v>0</v>
      </c>
      <c r="NM53" s="59">
        <f t="shared" si="125"/>
        <v>0</v>
      </c>
      <c r="NN53" s="620">
        <v>20000</v>
      </c>
      <c r="NO53" s="619">
        <v>0.5</v>
      </c>
      <c r="NP53" s="15"/>
      <c r="NQ53" s="15">
        <v>0.5</v>
      </c>
      <c r="NR53" s="15"/>
      <c r="NS53" s="15"/>
      <c r="NT53" s="15"/>
      <c r="NU53" s="61">
        <f t="shared" si="126"/>
        <v>0</v>
      </c>
      <c r="NV53" s="66">
        <f>IF($NO53&lt;&gt;0,NP53*$NN53/$NO53,0)</f>
        <v>0</v>
      </c>
      <c r="NW53" s="12">
        <f>IF($NO53&lt;&gt;0,NQ53*$NN53/$NO53,0)</f>
        <v>20000</v>
      </c>
      <c r="NX53" s="12">
        <f>IF($NO53&lt;&gt;0,NR53*$NN53/$NO53,0)</f>
        <v>0</v>
      </c>
      <c r="NY53" s="12">
        <f>IF($NO53&lt;&gt;0,NS53*$NN53/$NO53,0)</f>
        <v>0</v>
      </c>
      <c r="NZ53" s="16">
        <f>IF($NO53&lt;&gt;0,NT53*$NN53/$NO53,0)</f>
        <v>0</v>
      </c>
      <c r="OA53" s="59">
        <f t="shared" si="131"/>
        <v>0</v>
      </c>
      <c r="OB53" s="134">
        <v>20000</v>
      </c>
      <c r="OC53" s="133">
        <v>0.5</v>
      </c>
      <c r="OD53" s="15"/>
      <c r="OE53" s="15">
        <v>0.5</v>
      </c>
      <c r="OF53" s="15"/>
      <c r="OG53" s="15"/>
      <c r="OH53" s="15"/>
      <c r="OI53" s="61">
        <f t="shared" si="163"/>
        <v>0</v>
      </c>
      <c r="OJ53" s="66">
        <f>IF($OC53&lt;&gt;0,OD53*$OB53/$OC53,0)</f>
        <v>0</v>
      </c>
      <c r="OK53" s="12">
        <f>IF($OC53&lt;&gt;0,OE53*$OB53/$OC53,0)</f>
        <v>20000</v>
      </c>
      <c r="OL53" s="12">
        <f>IF($OC53&lt;&gt;0,OF53*$OB53/$OC53,0)</f>
        <v>0</v>
      </c>
      <c r="OM53" s="12">
        <f>IF($OC53&lt;&gt;0,OG53*$OB53/$OC53,0)</f>
        <v>0</v>
      </c>
      <c r="ON53" s="16">
        <f>IF($OC53&lt;&gt;0,OH53*$OB53/$OC53,0)</f>
        <v>0</v>
      </c>
      <c r="OO53" s="59">
        <f t="shared" si="137"/>
        <v>0</v>
      </c>
      <c r="OP53" s="134">
        <v>20000</v>
      </c>
      <c r="OQ53" s="133">
        <v>0.5</v>
      </c>
      <c r="OR53" s="15"/>
      <c r="OS53" s="15">
        <v>0.25</v>
      </c>
      <c r="OT53" s="15"/>
      <c r="OU53" s="15"/>
      <c r="OV53" s="15"/>
      <c r="OW53" s="61">
        <f t="shared" si="138"/>
        <v>0.25</v>
      </c>
      <c r="OX53" s="66">
        <f>IF($OQ53&lt;&gt;0,OR53*$OP53/$OQ53,0)</f>
        <v>0</v>
      </c>
      <c r="OY53" s="12">
        <f>IF($OQ53&lt;&gt;0,OS53*$OP53/$OQ53,0)</f>
        <v>10000</v>
      </c>
      <c r="OZ53" s="12">
        <f>IF($OQ53&lt;&gt;0,OT53*$OP53/$OQ53,0)</f>
        <v>0</v>
      </c>
      <c r="PA53" s="12">
        <f>IF($OQ53&lt;&gt;0,OU53*$OP53/$OQ53,0)</f>
        <v>0</v>
      </c>
      <c r="PB53" s="16">
        <f>IF($OQ53&lt;&gt;0,OV53*$OP53/$OQ53,0)</f>
        <v>0</v>
      </c>
      <c r="PC53" s="59">
        <f t="shared" si="144"/>
        <v>10000</v>
      </c>
      <c r="PD53" s="134">
        <v>20000</v>
      </c>
      <c r="PE53" s="133">
        <v>0.5</v>
      </c>
      <c r="PF53" s="15"/>
      <c r="PG53" s="15"/>
      <c r="PH53" s="15"/>
      <c r="PI53" s="15"/>
      <c r="PJ53" s="15"/>
      <c r="PK53" s="61">
        <f t="shared" si="145"/>
        <v>0.5</v>
      </c>
      <c r="PL53" s="66">
        <f t="shared" si="174"/>
        <v>0</v>
      </c>
      <c r="PM53" s="12">
        <f t="shared" si="175"/>
        <v>0</v>
      </c>
      <c r="PN53" s="12">
        <f t="shared" si="176"/>
        <v>0</v>
      </c>
      <c r="PO53" s="12">
        <f t="shared" si="177"/>
        <v>0</v>
      </c>
      <c r="PP53" s="16">
        <f t="shared" si="178"/>
        <v>0</v>
      </c>
      <c r="PQ53" s="59">
        <f t="shared" si="150"/>
        <v>20000</v>
      </c>
      <c r="PS53" s="884">
        <f t="shared" si="151"/>
        <v>0</v>
      </c>
    </row>
    <row r="54" spans="2:435" x14ac:dyDescent="0.2">
      <c r="B54" s="24">
        <v>42</v>
      </c>
      <c r="C54" s="25" t="s">
        <v>37</v>
      </c>
      <c r="D54" s="26">
        <v>25000</v>
      </c>
      <c r="E54" s="42">
        <v>1</v>
      </c>
      <c r="F54" s="31"/>
      <c r="G54" s="12"/>
      <c r="H54" s="12">
        <v>1</v>
      </c>
      <c r="I54" s="12"/>
      <c r="J54" s="12"/>
      <c r="K54" s="12"/>
      <c r="L54" s="15"/>
      <c r="M54" s="61">
        <f t="shared" si="41"/>
        <v>0</v>
      </c>
      <c r="N54" s="31">
        <f t="shared" si="292"/>
        <v>0</v>
      </c>
      <c r="O54" s="12">
        <f t="shared" si="292"/>
        <v>0</v>
      </c>
      <c r="P54" s="12">
        <f t="shared" si="292"/>
        <v>25000</v>
      </c>
      <c r="Q54" s="12">
        <f t="shared" si="292"/>
        <v>0</v>
      </c>
      <c r="R54" s="12">
        <f t="shared" si="292"/>
        <v>0</v>
      </c>
      <c r="S54" s="12">
        <f t="shared" si="292"/>
        <v>0</v>
      </c>
      <c r="T54" s="15">
        <f t="shared" si="292"/>
        <v>0</v>
      </c>
      <c r="U54" s="59">
        <f t="shared" si="191"/>
        <v>0</v>
      </c>
      <c r="V54" s="26">
        <v>25000</v>
      </c>
      <c r="W54" s="42">
        <v>1</v>
      </c>
      <c r="X54" s="31"/>
      <c r="Y54" s="12"/>
      <c r="Z54" s="12"/>
      <c r="AA54" s="12"/>
      <c r="AB54" s="12"/>
      <c r="AC54" s="12">
        <v>1</v>
      </c>
      <c r="AD54" s="15"/>
      <c r="AE54" s="15"/>
      <c r="AF54" s="61">
        <f t="shared" si="42"/>
        <v>0</v>
      </c>
      <c r="AG54" s="35">
        <f t="shared" si="43"/>
        <v>0</v>
      </c>
      <c r="AH54" s="35">
        <f t="shared" si="43"/>
        <v>0</v>
      </c>
      <c r="AI54" s="35">
        <f t="shared" si="43"/>
        <v>0</v>
      </c>
      <c r="AJ54" s="35">
        <f t="shared" si="43"/>
        <v>0</v>
      </c>
      <c r="AK54" s="35">
        <f t="shared" si="43"/>
        <v>0</v>
      </c>
      <c r="AL54" s="35">
        <f t="shared" si="43"/>
        <v>25000</v>
      </c>
      <c r="AM54" s="35">
        <f t="shared" si="43"/>
        <v>0</v>
      </c>
      <c r="AN54" s="35">
        <f t="shared" si="43"/>
        <v>0</v>
      </c>
      <c r="AO54" s="62">
        <f t="shared" si="44"/>
        <v>0</v>
      </c>
      <c r="AP54" s="26">
        <v>25000</v>
      </c>
      <c r="AQ54" s="42">
        <v>1</v>
      </c>
      <c r="AR54" s="12"/>
      <c r="AS54" s="12"/>
      <c r="AT54" s="12"/>
      <c r="AU54" s="12"/>
      <c r="AV54" s="15">
        <v>0.5</v>
      </c>
      <c r="AW54" s="15">
        <v>0.5</v>
      </c>
      <c r="AX54" s="61">
        <f t="shared" si="45"/>
        <v>0</v>
      </c>
      <c r="AY54" s="35">
        <f t="shared" si="273"/>
        <v>0</v>
      </c>
      <c r="AZ54" s="35">
        <f t="shared" si="273"/>
        <v>0</v>
      </c>
      <c r="BA54" s="35">
        <f t="shared" si="273"/>
        <v>0</v>
      </c>
      <c r="BB54" s="35">
        <f t="shared" si="273"/>
        <v>0</v>
      </c>
      <c r="BC54" s="35">
        <f t="shared" si="273"/>
        <v>12500</v>
      </c>
      <c r="BD54" s="34">
        <f t="shared" si="273"/>
        <v>12500</v>
      </c>
      <c r="BE54" s="59">
        <f t="shared" si="46"/>
        <v>0</v>
      </c>
      <c r="BF54" s="26">
        <v>23989.279999999999</v>
      </c>
      <c r="BG54" s="42">
        <v>1</v>
      </c>
      <c r="BH54" s="12"/>
      <c r="BI54" s="12"/>
      <c r="BJ54" s="12"/>
      <c r="BK54" s="12"/>
      <c r="BL54" s="15">
        <v>0.1</v>
      </c>
      <c r="BM54" s="15">
        <v>0.9</v>
      </c>
      <c r="BN54" s="15"/>
      <c r="BO54" s="61">
        <f t="shared" si="3"/>
        <v>0</v>
      </c>
      <c r="BP54" s="65">
        <f t="shared" si="274"/>
        <v>0</v>
      </c>
      <c r="BQ54" s="33">
        <f t="shared" si="274"/>
        <v>0</v>
      </c>
      <c r="BR54" s="33">
        <f t="shared" si="274"/>
        <v>0</v>
      </c>
      <c r="BS54" s="33">
        <f t="shared" si="274"/>
        <v>0</v>
      </c>
      <c r="BT54" s="33">
        <f t="shared" si="274"/>
        <v>2398.9299999999998</v>
      </c>
      <c r="BU54" s="33">
        <f t="shared" si="274"/>
        <v>21590.35</v>
      </c>
      <c r="BV54" s="34">
        <f t="shared" si="274"/>
        <v>0</v>
      </c>
      <c r="BW54" s="59">
        <f t="shared" si="192"/>
        <v>0</v>
      </c>
      <c r="BX54" s="69">
        <v>23395.08</v>
      </c>
      <c r="BY54" s="68">
        <v>1</v>
      </c>
      <c r="BZ54" s="31"/>
      <c r="CA54" s="12"/>
      <c r="CB54" s="12"/>
      <c r="CC54" s="12"/>
      <c r="CD54" s="15"/>
      <c r="CE54" s="15">
        <v>1</v>
      </c>
      <c r="CF54" s="15"/>
      <c r="CG54" s="61">
        <f t="shared" si="5"/>
        <v>0</v>
      </c>
      <c r="CH54" s="66">
        <f t="shared" si="47"/>
        <v>0</v>
      </c>
      <c r="CI54" s="12">
        <f t="shared" si="47"/>
        <v>0</v>
      </c>
      <c r="CJ54" s="12">
        <f t="shared" si="47"/>
        <v>0</v>
      </c>
      <c r="CK54" s="12">
        <f t="shared" si="47"/>
        <v>0</v>
      </c>
      <c r="CL54" s="12">
        <f t="shared" si="47"/>
        <v>0</v>
      </c>
      <c r="CM54" s="12">
        <f t="shared" si="47"/>
        <v>23395.08</v>
      </c>
      <c r="CN54" s="16">
        <f t="shared" si="47"/>
        <v>0</v>
      </c>
      <c r="CO54" s="59">
        <f t="shared" si="193"/>
        <v>0</v>
      </c>
      <c r="CP54" s="26">
        <v>25000</v>
      </c>
      <c r="CQ54" s="42">
        <v>1</v>
      </c>
      <c r="CR54" s="12">
        <v>1</v>
      </c>
      <c r="CS54" s="12"/>
      <c r="CT54" s="12"/>
      <c r="CU54" s="12"/>
      <c r="CV54" s="15"/>
      <c r="CW54" s="15"/>
      <c r="CX54" s="15"/>
      <c r="CY54" s="61">
        <f t="shared" si="7"/>
        <v>0</v>
      </c>
      <c r="CZ54" s="66">
        <f t="shared" si="194"/>
        <v>25000</v>
      </c>
      <c r="DA54" s="12">
        <f t="shared" si="194"/>
        <v>0</v>
      </c>
      <c r="DB54" s="12">
        <f t="shared" si="194"/>
        <v>0</v>
      </c>
      <c r="DC54" s="12">
        <f t="shared" si="194"/>
        <v>0</v>
      </c>
      <c r="DD54" s="12">
        <f t="shared" si="194"/>
        <v>0</v>
      </c>
      <c r="DE54" s="12">
        <f t="shared" si="194"/>
        <v>0</v>
      </c>
      <c r="DF54" s="16">
        <f t="shared" si="194"/>
        <v>0</v>
      </c>
      <c r="DG54" s="59">
        <f t="shared" si="195"/>
        <v>0</v>
      </c>
      <c r="DH54" s="26">
        <f>17857.15+6744.4</f>
        <v>24601.55</v>
      </c>
      <c r="DI54" s="42">
        <v>1</v>
      </c>
      <c r="DJ54" s="12">
        <v>0.65</v>
      </c>
      <c r="DK54" s="12"/>
      <c r="DL54" s="12"/>
      <c r="DM54" s="12"/>
      <c r="DN54" s="15"/>
      <c r="DO54" s="15">
        <v>0.3</v>
      </c>
      <c r="DP54" s="15"/>
      <c r="DQ54" s="61">
        <f t="shared" si="9"/>
        <v>0.05</v>
      </c>
      <c r="DR54" s="66">
        <f t="shared" si="48"/>
        <v>15991.01</v>
      </c>
      <c r="DS54" s="12">
        <f t="shared" si="48"/>
        <v>0</v>
      </c>
      <c r="DT54" s="12">
        <f t="shared" si="48"/>
        <v>0</v>
      </c>
      <c r="DU54" s="12">
        <f t="shared" si="48"/>
        <v>0</v>
      </c>
      <c r="DV54" s="12">
        <f t="shared" si="48"/>
        <v>0</v>
      </c>
      <c r="DW54" s="12">
        <f t="shared" si="48"/>
        <v>7380.47</v>
      </c>
      <c r="DX54" s="16">
        <f t="shared" si="48"/>
        <v>0</v>
      </c>
      <c r="DY54" s="59">
        <f t="shared" si="196"/>
        <v>1230.07</v>
      </c>
      <c r="DZ54" s="26">
        <v>25000</v>
      </c>
      <c r="EA54" s="42">
        <v>1</v>
      </c>
      <c r="EB54" s="12">
        <v>1</v>
      </c>
      <c r="EC54" s="12"/>
      <c r="ED54" s="12"/>
      <c r="EE54" s="15"/>
      <c r="EF54" s="15"/>
      <c r="EG54" s="15"/>
      <c r="EH54" s="61">
        <f t="shared" si="197"/>
        <v>0</v>
      </c>
      <c r="EI54" s="66">
        <f t="shared" si="275"/>
        <v>25000</v>
      </c>
      <c r="EJ54" s="12">
        <f>IF($EA54&lt;&gt;0,EC54*$DZ54/$EA54,0)</f>
        <v>0</v>
      </c>
      <c r="EK54" s="12">
        <f t="shared" si="275"/>
        <v>0</v>
      </c>
      <c r="EL54" s="12">
        <f t="shared" si="275"/>
        <v>0</v>
      </c>
      <c r="EM54" s="12">
        <f t="shared" si="275"/>
        <v>0</v>
      </c>
      <c r="EN54" s="16">
        <f t="shared" si="275"/>
        <v>0</v>
      </c>
      <c r="EO54" s="59">
        <f t="shared" si="198"/>
        <v>0</v>
      </c>
      <c r="EP54" s="26">
        <v>25000</v>
      </c>
      <c r="EQ54" s="42">
        <v>1</v>
      </c>
      <c r="ER54" s="12">
        <v>1</v>
      </c>
      <c r="ES54" s="12"/>
      <c r="ET54" s="15"/>
      <c r="EU54" s="15"/>
      <c r="EV54" s="61">
        <f t="shared" si="199"/>
        <v>0</v>
      </c>
      <c r="EW54" s="66">
        <f t="shared" si="49"/>
        <v>25000</v>
      </c>
      <c r="EX54" s="12">
        <f t="shared" si="49"/>
        <v>0</v>
      </c>
      <c r="EY54" s="12">
        <f t="shared" si="49"/>
        <v>0</v>
      </c>
      <c r="EZ54" s="16">
        <f t="shared" si="49"/>
        <v>0</v>
      </c>
      <c r="FA54" s="59">
        <f t="shared" si="200"/>
        <v>0</v>
      </c>
      <c r="FB54" s="26">
        <v>25000</v>
      </c>
      <c r="FC54" s="42">
        <v>1</v>
      </c>
      <c r="FD54" s="12">
        <v>1</v>
      </c>
      <c r="FE54" s="15"/>
      <c r="FF54" s="15"/>
      <c r="FG54" s="61">
        <f t="shared" si="201"/>
        <v>0</v>
      </c>
      <c r="FH54" s="66">
        <f t="shared" si="50"/>
        <v>25000</v>
      </c>
      <c r="FI54" s="12">
        <f t="shared" si="50"/>
        <v>0</v>
      </c>
      <c r="FJ54" s="16">
        <f t="shared" si="50"/>
        <v>0</v>
      </c>
      <c r="FK54" s="59">
        <f t="shared" si="202"/>
        <v>0</v>
      </c>
      <c r="FL54" s="26">
        <v>25000</v>
      </c>
      <c r="FM54" s="42">
        <v>1</v>
      </c>
      <c r="FN54" s="12">
        <v>1</v>
      </c>
      <c r="FO54" s="15"/>
      <c r="FP54" s="15"/>
      <c r="FQ54" s="15"/>
      <c r="FR54" s="15"/>
      <c r="FS54" s="61">
        <f t="shared" si="203"/>
        <v>0</v>
      </c>
      <c r="FT54" s="66">
        <f t="shared" si="296"/>
        <v>25000</v>
      </c>
      <c r="FU54" s="12">
        <f t="shared" si="297"/>
        <v>0</v>
      </c>
      <c r="FV54" s="12">
        <f t="shared" si="206"/>
        <v>0</v>
      </c>
      <c r="FW54" s="12">
        <f t="shared" si="207"/>
        <v>0</v>
      </c>
      <c r="FX54" s="16">
        <f t="shared" si="51"/>
        <v>0</v>
      </c>
      <c r="FY54" s="59">
        <f t="shared" si="52"/>
        <v>0</v>
      </c>
      <c r="FZ54" s="26">
        <v>25000</v>
      </c>
      <c r="GA54" s="42">
        <v>1</v>
      </c>
      <c r="GB54" s="12">
        <v>1</v>
      </c>
      <c r="GC54" s="15"/>
      <c r="GD54" s="15"/>
      <c r="GE54" s="15"/>
      <c r="GF54" s="61">
        <f t="shared" si="208"/>
        <v>0</v>
      </c>
      <c r="GG54" s="66">
        <f t="shared" si="53"/>
        <v>25000</v>
      </c>
      <c r="GH54" s="66">
        <f>IF($GA54&lt;&gt;0,GB54*$FZ54/$GA54,0)</f>
        <v>25000</v>
      </c>
      <c r="GI54" s="12">
        <f t="shared" si="289"/>
        <v>0</v>
      </c>
      <c r="GJ54" s="12">
        <f t="shared" si="179"/>
        <v>0</v>
      </c>
      <c r="GK54" s="31">
        <f t="shared" si="290"/>
        <v>0</v>
      </c>
      <c r="GL54" s="123">
        <f t="shared" si="291"/>
        <v>0</v>
      </c>
      <c r="GM54" s="410">
        <f t="shared" si="16"/>
        <v>0</v>
      </c>
      <c r="GN54" s="414">
        <v>25000</v>
      </c>
      <c r="GO54" s="42">
        <v>1</v>
      </c>
      <c r="GP54" s="12">
        <v>1</v>
      </c>
      <c r="GQ54" s="15"/>
      <c r="GR54" s="15"/>
      <c r="GS54" s="15"/>
      <c r="GT54" s="15"/>
      <c r="GU54" s="61">
        <f t="shared" si="54"/>
        <v>0</v>
      </c>
      <c r="GV54" s="66">
        <f t="shared" si="17"/>
        <v>25000</v>
      </c>
      <c r="GW54" s="12">
        <f t="shared" si="18"/>
        <v>0</v>
      </c>
      <c r="GX54" s="12">
        <f t="shared" si="19"/>
        <v>0</v>
      </c>
      <c r="GY54" s="12">
        <f t="shared" si="20"/>
        <v>0</v>
      </c>
      <c r="GZ54" s="16">
        <f t="shared" si="21"/>
        <v>0</v>
      </c>
      <c r="HA54" s="59">
        <f t="shared" si="55"/>
        <v>0</v>
      </c>
      <c r="HB54" s="26">
        <f>25000*1.1</f>
        <v>27500</v>
      </c>
      <c r="HC54" s="42">
        <v>1</v>
      </c>
      <c r="HD54" s="12">
        <v>1</v>
      </c>
      <c r="HE54" s="15"/>
      <c r="HF54" s="15"/>
      <c r="HG54" s="15"/>
      <c r="HH54" s="15"/>
      <c r="HI54" s="15"/>
      <c r="HJ54" s="15"/>
      <c r="HK54" s="15"/>
      <c r="HL54" s="61">
        <f t="shared" si="56"/>
        <v>0</v>
      </c>
      <c r="HM54" s="66">
        <f t="shared" si="22"/>
        <v>27500</v>
      </c>
      <c r="HN54" s="12">
        <f t="shared" si="23"/>
        <v>0</v>
      </c>
      <c r="HO54" s="12">
        <f t="shared" si="24"/>
        <v>0</v>
      </c>
      <c r="HP54" s="12">
        <f t="shared" si="25"/>
        <v>0</v>
      </c>
      <c r="HQ54" s="12">
        <f t="shared" si="26"/>
        <v>0</v>
      </c>
      <c r="HR54" s="12">
        <f t="shared" si="27"/>
        <v>0</v>
      </c>
      <c r="HS54" s="12">
        <f t="shared" si="28"/>
        <v>0</v>
      </c>
      <c r="HT54" s="16">
        <f t="shared" si="29"/>
        <v>0</v>
      </c>
      <c r="HU54" s="59">
        <f t="shared" si="57"/>
        <v>0</v>
      </c>
      <c r="HV54" s="26">
        <v>25000</v>
      </c>
      <c r="HW54" s="42">
        <v>1</v>
      </c>
      <c r="HX54" s="12"/>
      <c r="HY54" s="15"/>
      <c r="HZ54" s="61">
        <f t="shared" si="58"/>
        <v>1</v>
      </c>
      <c r="IA54" s="66">
        <f t="shared" si="59"/>
        <v>0</v>
      </c>
      <c r="IB54" s="16">
        <f t="shared" si="59"/>
        <v>0</v>
      </c>
      <c r="IC54" s="59">
        <f t="shared" si="60"/>
        <v>25000</v>
      </c>
      <c r="ID54" s="26">
        <f>25000*1.1</f>
        <v>27500</v>
      </c>
      <c r="IE54" s="42">
        <v>1</v>
      </c>
      <c r="IF54" s="12">
        <v>1</v>
      </c>
      <c r="IG54" s="15"/>
      <c r="IH54" s="15"/>
      <c r="II54" s="15"/>
      <c r="IJ54" s="15"/>
      <c r="IK54" s="15"/>
      <c r="IL54" s="15"/>
      <c r="IM54" s="15"/>
      <c r="IN54" s="15"/>
      <c r="IO54" s="61">
        <f t="shared" si="61"/>
        <v>0</v>
      </c>
      <c r="IP54" s="66">
        <f t="shared" si="62"/>
        <v>27500</v>
      </c>
      <c r="IQ54" s="12">
        <f t="shared" si="63"/>
        <v>0</v>
      </c>
      <c r="IR54" s="12">
        <f t="shared" si="64"/>
        <v>0</v>
      </c>
      <c r="IS54" s="12">
        <f t="shared" si="65"/>
        <v>0</v>
      </c>
      <c r="IT54" s="12">
        <f t="shared" si="66"/>
        <v>0</v>
      </c>
      <c r="IU54" s="12">
        <f t="shared" si="67"/>
        <v>0</v>
      </c>
      <c r="IV54" s="12">
        <f t="shared" si="68"/>
        <v>0</v>
      </c>
      <c r="IW54" s="15">
        <f t="shared" si="69"/>
        <v>0</v>
      </c>
      <c r="IX54" s="16">
        <f t="shared" si="69"/>
        <v>0</v>
      </c>
      <c r="IY54" s="59">
        <f t="shared" si="70"/>
        <v>0</v>
      </c>
      <c r="IZ54" s="26">
        <f>19642.86+11965.24</f>
        <v>31608.1</v>
      </c>
      <c r="JA54" s="42">
        <v>1</v>
      </c>
      <c r="JB54" s="12">
        <v>0.25</v>
      </c>
      <c r="JC54" s="15"/>
      <c r="JD54" s="15"/>
      <c r="JE54" s="15"/>
      <c r="JF54" s="15"/>
      <c r="JG54" s="15">
        <v>0.35</v>
      </c>
      <c r="JH54" s="15">
        <v>0.2</v>
      </c>
      <c r="JI54" s="15"/>
      <c r="JJ54" s="15">
        <v>0.2</v>
      </c>
      <c r="JK54" s="61">
        <f t="shared" si="295"/>
        <v>0</v>
      </c>
      <c r="JL54" s="66">
        <f t="shared" si="72"/>
        <v>7902.03</v>
      </c>
      <c r="JM54" s="12">
        <f t="shared" si="276"/>
        <v>0</v>
      </c>
      <c r="JN54" s="12">
        <f t="shared" si="277"/>
        <v>0</v>
      </c>
      <c r="JO54" s="12">
        <f t="shared" si="278"/>
        <v>0</v>
      </c>
      <c r="JP54" s="12">
        <f t="shared" si="279"/>
        <v>0</v>
      </c>
      <c r="JQ54" s="12">
        <f t="shared" si="280"/>
        <v>11062.84</v>
      </c>
      <c r="JR54" s="12">
        <f t="shared" si="281"/>
        <v>6321.62</v>
      </c>
      <c r="JS54" s="12">
        <f t="shared" si="282"/>
        <v>0</v>
      </c>
      <c r="JT54" s="16">
        <f t="shared" si="283"/>
        <v>6321.62</v>
      </c>
      <c r="JU54" s="59">
        <f t="shared" si="81"/>
        <v>-0.01</v>
      </c>
      <c r="JV54" s="26">
        <v>22261.9</v>
      </c>
      <c r="JW54" s="42">
        <v>1</v>
      </c>
      <c r="JX54" s="12">
        <v>0.25</v>
      </c>
      <c r="JY54" s="12">
        <v>0.25</v>
      </c>
      <c r="JZ54" s="15"/>
      <c r="KA54" s="15"/>
      <c r="KB54" s="15"/>
      <c r="KC54" s="15"/>
      <c r="KD54" s="15"/>
      <c r="KE54" s="15"/>
      <c r="KF54" s="15">
        <v>0.5</v>
      </c>
      <c r="KG54" s="61">
        <f t="shared" si="82"/>
        <v>0</v>
      </c>
      <c r="KH54" s="146">
        <f t="shared" si="83"/>
        <v>5565.48</v>
      </c>
      <c r="KI54" s="12">
        <f>IF($JW54&lt;&gt;0,JY54*$JV54/$JW54,0)</f>
        <v>5565.48</v>
      </c>
      <c r="KJ54" s="12">
        <f t="shared" si="84"/>
        <v>0</v>
      </c>
      <c r="KK54" s="12">
        <f t="shared" si="85"/>
        <v>0</v>
      </c>
      <c r="KL54" s="12">
        <f t="shared" si="86"/>
        <v>0</v>
      </c>
      <c r="KM54" s="12">
        <f t="shared" si="87"/>
        <v>0</v>
      </c>
      <c r="KN54" s="12">
        <f t="shared" si="88"/>
        <v>0</v>
      </c>
      <c r="KO54" s="12">
        <f t="shared" si="89"/>
        <v>0</v>
      </c>
      <c r="KP54" s="16">
        <f t="shared" si="90"/>
        <v>11130.95</v>
      </c>
      <c r="KQ54" s="59">
        <f t="shared" si="91"/>
        <v>-0.01</v>
      </c>
      <c r="KR54" s="26">
        <v>26003.87</v>
      </c>
      <c r="KS54" s="42">
        <v>1</v>
      </c>
      <c r="KT54" s="12">
        <v>0.25</v>
      </c>
      <c r="KU54" s="15"/>
      <c r="KV54" s="15"/>
      <c r="KW54" s="15"/>
      <c r="KX54" s="15">
        <v>0.35</v>
      </c>
      <c r="KY54" s="15"/>
      <c r="KZ54" s="15"/>
      <c r="LA54" s="15">
        <v>0.4</v>
      </c>
      <c r="LB54" s="61">
        <f t="shared" si="92"/>
        <v>0</v>
      </c>
      <c r="LC54" s="66">
        <f t="shared" si="93"/>
        <v>6500.97</v>
      </c>
      <c r="LD54" s="12">
        <f t="shared" si="94"/>
        <v>0</v>
      </c>
      <c r="LE54" s="12">
        <f t="shared" si="95"/>
        <v>0</v>
      </c>
      <c r="LF54" s="12">
        <f t="shared" si="96"/>
        <v>0</v>
      </c>
      <c r="LG54" s="12">
        <f t="shared" si="97"/>
        <v>9101.35</v>
      </c>
      <c r="LH54" s="12">
        <f t="shared" si="98"/>
        <v>0</v>
      </c>
      <c r="LI54" s="12">
        <f t="shared" si="99"/>
        <v>0</v>
      </c>
      <c r="LJ54" s="16">
        <f t="shared" si="100"/>
        <v>10401.549999999999</v>
      </c>
      <c r="LK54" s="59">
        <f t="shared" si="101"/>
        <v>0</v>
      </c>
      <c r="LL54" s="26">
        <f>21250+998.49</f>
        <v>22248.49</v>
      </c>
      <c r="LM54" s="42">
        <f>27/31</f>
        <v>0.87</v>
      </c>
      <c r="LN54" s="15"/>
      <c r="LO54" s="15"/>
      <c r="LP54" s="15"/>
      <c r="LQ54" s="15">
        <v>0.45</v>
      </c>
      <c r="LR54" s="15"/>
      <c r="LS54" s="15"/>
      <c r="LT54" s="15">
        <v>0.4</v>
      </c>
      <c r="LU54" s="61">
        <f t="shared" si="102"/>
        <v>0.02</v>
      </c>
      <c r="LV54" s="66">
        <f t="shared" si="103"/>
        <v>0</v>
      </c>
      <c r="LW54" s="12">
        <f t="shared" si="104"/>
        <v>0</v>
      </c>
      <c r="LX54" s="12">
        <f t="shared" si="105"/>
        <v>0</v>
      </c>
      <c r="LY54" s="12">
        <f t="shared" si="106"/>
        <v>11507.84</v>
      </c>
      <c r="LZ54" s="12">
        <f t="shared" si="107"/>
        <v>0</v>
      </c>
      <c r="MA54" s="12">
        <f t="shared" si="108"/>
        <v>0</v>
      </c>
      <c r="MB54" s="16">
        <f t="shared" si="109"/>
        <v>10229.19</v>
      </c>
      <c r="MC54" s="59">
        <f t="shared" si="110"/>
        <v>511.46</v>
      </c>
      <c r="MD54" s="26">
        <f>25000*1.1</f>
        <v>27500</v>
      </c>
      <c r="ME54" s="42">
        <v>1</v>
      </c>
      <c r="MF54" s="15"/>
      <c r="MG54" s="15"/>
      <c r="MH54" s="15">
        <v>0.5</v>
      </c>
      <c r="MI54" s="15"/>
      <c r="MJ54" s="15"/>
      <c r="MK54" s="15"/>
      <c r="ML54" s="15">
        <v>0.5</v>
      </c>
      <c r="MM54" s="61">
        <f t="shared" si="111"/>
        <v>0</v>
      </c>
      <c r="MN54" s="66">
        <f t="shared" si="112"/>
        <v>0</v>
      </c>
      <c r="MO54" s="12">
        <f t="shared" si="113"/>
        <v>0</v>
      </c>
      <c r="MP54" s="12">
        <f t="shared" si="114"/>
        <v>13750</v>
      </c>
      <c r="MQ54" s="12">
        <f t="shared" si="115"/>
        <v>0</v>
      </c>
      <c r="MR54" s="12">
        <f t="shared" si="116"/>
        <v>0</v>
      </c>
      <c r="MS54" s="12">
        <f t="shared" si="116"/>
        <v>0</v>
      </c>
      <c r="MT54" s="16">
        <f t="shared" si="117"/>
        <v>13750</v>
      </c>
      <c r="MU54" s="59">
        <f t="shared" si="189"/>
        <v>0</v>
      </c>
      <c r="MV54" s="621">
        <v>21623.49</v>
      </c>
      <c r="MW54" s="623">
        <v>0.87</v>
      </c>
      <c r="MX54" s="15"/>
      <c r="MY54" s="15"/>
      <c r="MZ54" s="15">
        <v>0.5</v>
      </c>
      <c r="NA54" s="15"/>
      <c r="NB54" s="15"/>
      <c r="NC54" s="15"/>
      <c r="ND54" s="15">
        <v>0.3</v>
      </c>
      <c r="NE54" s="61">
        <f t="shared" si="118"/>
        <v>7.0000000000000007E-2</v>
      </c>
      <c r="NF54" s="66">
        <f t="shared" si="119"/>
        <v>0</v>
      </c>
      <c r="NG54" s="12">
        <f t="shared" si="120"/>
        <v>0</v>
      </c>
      <c r="NH54" s="12">
        <f t="shared" si="121"/>
        <v>12427.29</v>
      </c>
      <c r="NI54" s="12">
        <f t="shared" si="122"/>
        <v>0</v>
      </c>
      <c r="NJ54" s="12">
        <f t="shared" si="123"/>
        <v>0</v>
      </c>
      <c r="NK54" s="12">
        <f t="shared" si="123"/>
        <v>0</v>
      </c>
      <c r="NL54" s="16">
        <f t="shared" si="124"/>
        <v>7456.38</v>
      </c>
      <c r="NM54" s="59">
        <f t="shared" si="125"/>
        <v>1739.82</v>
      </c>
      <c r="NN54" s="621">
        <f>25000*1.1</f>
        <v>27500</v>
      </c>
      <c r="NO54" s="623">
        <v>1</v>
      </c>
      <c r="NP54" s="15"/>
      <c r="NQ54" s="15">
        <v>0.9</v>
      </c>
      <c r="NR54" s="15"/>
      <c r="NS54" s="15"/>
      <c r="NT54" s="15"/>
      <c r="NU54" s="61">
        <f t="shared" si="126"/>
        <v>0.1</v>
      </c>
      <c r="NV54" s="66">
        <f t="shared" si="190"/>
        <v>0</v>
      </c>
      <c r="NW54" s="12">
        <f t="shared" si="209"/>
        <v>24750</v>
      </c>
      <c r="NX54" s="12">
        <f t="shared" si="210"/>
        <v>0</v>
      </c>
      <c r="NY54" s="12">
        <f t="shared" si="211"/>
        <v>0</v>
      </c>
      <c r="NZ54" s="16">
        <f t="shared" si="212"/>
        <v>0</v>
      </c>
      <c r="OA54" s="59">
        <f t="shared" si="131"/>
        <v>2750</v>
      </c>
      <c r="OB54" s="135">
        <f>25000*1.1</f>
        <v>27500</v>
      </c>
      <c r="OC54" s="136">
        <v>1</v>
      </c>
      <c r="OD54" s="15"/>
      <c r="OE54" s="15">
        <v>0.9</v>
      </c>
      <c r="OF54" s="15"/>
      <c r="OG54" s="15"/>
      <c r="OH54" s="15"/>
      <c r="OI54" s="61">
        <f t="shared" si="163"/>
        <v>0.1</v>
      </c>
      <c r="OJ54" s="66">
        <f t="shared" si="132"/>
        <v>0</v>
      </c>
      <c r="OK54" s="12">
        <f t="shared" si="133"/>
        <v>24750</v>
      </c>
      <c r="OL54" s="12">
        <f t="shared" si="134"/>
        <v>0</v>
      </c>
      <c r="OM54" s="12">
        <f t="shared" si="135"/>
        <v>0</v>
      </c>
      <c r="ON54" s="16">
        <f t="shared" si="136"/>
        <v>0</v>
      </c>
      <c r="OO54" s="59">
        <f t="shared" si="137"/>
        <v>2750</v>
      </c>
      <c r="OP54" s="135">
        <f>25000*1.1</f>
        <v>27500</v>
      </c>
      <c r="OQ54" s="136">
        <v>1</v>
      </c>
      <c r="OR54" s="15"/>
      <c r="OS54" s="15">
        <v>0.5</v>
      </c>
      <c r="OT54" s="15"/>
      <c r="OU54" s="15"/>
      <c r="OV54" s="15"/>
      <c r="OW54" s="61">
        <f t="shared" si="138"/>
        <v>0.5</v>
      </c>
      <c r="OX54" s="66">
        <f t="shared" si="139"/>
        <v>0</v>
      </c>
      <c r="OY54" s="12">
        <f t="shared" si="140"/>
        <v>13750</v>
      </c>
      <c r="OZ54" s="12">
        <f t="shared" si="141"/>
        <v>0</v>
      </c>
      <c r="PA54" s="12">
        <f t="shared" si="142"/>
        <v>0</v>
      </c>
      <c r="PB54" s="16">
        <f t="shared" si="143"/>
        <v>0</v>
      </c>
      <c r="PC54" s="59">
        <f t="shared" si="144"/>
        <v>13750</v>
      </c>
      <c r="PD54" s="135">
        <f>25000*1.1</f>
        <v>27500</v>
      </c>
      <c r="PE54" s="136">
        <v>1</v>
      </c>
      <c r="PF54" s="15"/>
      <c r="PG54" s="15"/>
      <c r="PH54" s="15"/>
      <c r="PI54" s="15"/>
      <c r="PJ54" s="15"/>
      <c r="PK54" s="61">
        <f t="shared" si="145"/>
        <v>1</v>
      </c>
      <c r="PL54" s="66">
        <f t="shared" si="174"/>
        <v>0</v>
      </c>
      <c r="PM54" s="12">
        <f t="shared" si="175"/>
        <v>0</v>
      </c>
      <c r="PN54" s="12">
        <f t="shared" si="176"/>
        <v>0</v>
      </c>
      <c r="PO54" s="12">
        <f t="shared" si="177"/>
        <v>0</v>
      </c>
      <c r="PP54" s="16">
        <f t="shared" si="178"/>
        <v>0</v>
      </c>
      <c r="PQ54" s="59">
        <f t="shared" si="150"/>
        <v>27500</v>
      </c>
      <c r="PS54" s="885">
        <f t="shared" si="151"/>
        <v>2.2999999999999998</v>
      </c>
    </row>
    <row r="55" spans="2:435" x14ac:dyDescent="0.2">
      <c r="B55" s="24">
        <v>43</v>
      </c>
      <c r="C55" s="25" t="s">
        <v>29</v>
      </c>
      <c r="D55" s="26">
        <v>17500</v>
      </c>
      <c r="E55" s="42">
        <v>0.5</v>
      </c>
      <c r="F55" s="31"/>
      <c r="G55" s="12"/>
      <c r="H55" s="12"/>
      <c r="I55" s="12"/>
      <c r="J55" s="12"/>
      <c r="K55" s="12">
        <v>0.25</v>
      </c>
      <c r="L55" s="15">
        <v>0.25</v>
      </c>
      <c r="M55" s="61">
        <f t="shared" si="41"/>
        <v>0</v>
      </c>
      <c r="N55" s="31">
        <f t="shared" si="292"/>
        <v>0</v>
      </c>
      <c r="O55" s="12">
        <f t="shared" si="292"/>
        <v>0</v>
      </c>
      <c r="P55" s="12">
        <f t="shared" si="292"/>
        <v>0</v>
      </c>
      <c r="Q55" s="12">
        <f t="shared" si="292"/>
        <v>0</v>
      </c>
      <c r="R55" s="12">
        <f t="shared" si="292"/>
        <v>0</v>
      </c>
      <c r="S55" s="12">
        <f t="shared" si="292"/>
        <v>8750</v>
      </c>
      <c r="T55" s="15">
        <f t="shared" si="292"/>
        <v>8750</v>
      </c>
      <c r="U55" s="59">
        <f t="shared" si="191"/>
        <v>0</v>
      </c>
      <c r="V55" s="26">
        <v>27500</v>
      </c>
      <c r="W55" s="42">
        <v>0.5</v>
      </c>
      <c r="X55" s="31"/>
      <c r="Y55" s="12"/>
      <c r="Z55" s="12"/>
      <c r="AA55" s="12"/>
      <c r="AB55" s="12"/>
      <c r="AC55" s="12">
        <v>0.5</v>
      </c>
      <c r="AD55" s="15"/>
      <c r="AE55" s="15"/>
      <c r="AF55" s="61">
        <f t="shared" si="42"/>
        <v>0</v>
      </c>
      <c r="AG55" s="35">
        <f t="shared" si="43"/>
        <v>0</v>
      </c>
      <c r="AH55" s="35">
        <f t="shared" si="43"/>
        <v>0</v>
      </c>
      <c r="AI55" s="35">
        <f t="shared" si="43"/>
        <v>0</v>
      </c>
      <c r="AJ55" s="35">
        <f t="shared" si="43"/>
        <v>0</v>
      </c>
      <c r="AK55" s="35">
        <f t="shared" si="43"/>
        <v>0</v>
      </c>
      <c r="AL55" s="35">
        <f t="shared" si="43"/>
        <v>27500</v>
      </c>
      <c r="AM55" s="35">
        <f t="shared" si="43"/>
        <v>0</v>
      </c>
      <c r="AN55" s="35">
        <f t="shared" si="43"/>
        <v>0</v>
      </c>
      <c r="AO55" s="62">
        <f t="shared" si="44"/>
        <v>0</v>
      </c>
      <c r="AP55" s="26">
        <v>27500</v>
      </c>
      <c r="AQ55" s="42">
        <v>0.5</v>
      </c>
      <c r="AR55" s="12"/>
      <c r="AS55" s="12"/>
      <c r="AT55" s="12"/>
      <c r="AU55" s="12"/>
      <c r="AV55" s="15">
        <v>0.3</v>
      </c>
      <c r="AW55" s="15">
        <v>0.2</v>
      </c>
      <c r="AX55" s="61">
        <f t="shared" si="45"/>
        <v>0</v>
      </c>
      <c r="AY55" s="35">
        <f t="shared" si="273"/>
        <v>0</v>
      </c>
      <c r="AZ55" s="35">
        <f t="shared" si="273"/>
        <v>0</v>
      </c>
      <c r="BA55" s="35">
        <f t="shared" si="273"/>
        <v>0</v>
      </c>
      <c r="BB55" s="35">
        <f t="shared" si="273"/>
        <v>0</v>
      </c>
      <c r="BC55" s="35">
        <f t="shared" si="273"/>
        <v>16500</v>
      </c>
      <c r="BD55" s="34">
        <f t="shared" si="273"/>
        <v>11000</v>
      </c>
      <c r="BE55" s="59">
        <f t="shared" si="46"/>
        <v>0</v>
      </c>
      <c r="BF55" s="26">
        <v>27500</v>
      </c>
      <c r="BG55" s="42">
        <v>0.5</v>
      </c>
      <c r="BH55" s="12"/>
      <c r="BI55" s="12"/>
      <c r="BJ55" s="12"/>
      <c r="BK55" s="12"/>
      <c r="BL55" s="15"/>
      <c r="BM55" s="15">
        <v>0.5</v>
      </c>
      <c r="BN55" s="15"/>
      <c r="BO55" s="61">
        <f t="shared" si="3"/>
        <v>0</v>
      </c>
      <c r="BP55" s="65">
        <f t="shared" si="274"/>
        <v>0</v>
      </c>
      <c r="BQ55" s="33">
        <f t="shared" si="274"/>
        <v>0</v>
      </c>
      <c r="BR55" s="33">
        <f t="shared" si="274"/>
        <v>0</v>
      </c>
      <c r="BS55" s="33">
        <f t="shared" si="274"/>
        <v>0</v>
      </c>
      <c r="BT55" s="33">
        <f t="shared" si="274"/>
        <v>0</v>
      </c>
      <c r="BU55" s="33">
        <f t="shared" si="274"/>
        <v>27500</v>
      </c>
      <c r="BV55" s="34">
        <f t="shared" si="274"/>
        <v>0</v>
      </c>
      <c r="BW55" s="59">
        <f t="shared" si="192"/>
        <v>0</v>
      </c>
      <c r="BX55" s="69">
        <v>27500</v>
      </c>
      <c r="BY55" s="68">
        <v>0.5</v>
      </c>
      <c r="BZ55" s="31"/>
      <c r="CA55" s="12"/>
      <c r="CB55" s="12">
        <v>0.5</v>
      </c>
      <c r="CC55" s="12"/>
      <c r="CD55" s="15"/>
      <c r="CE55" s="15"/>
      <c r="CF55" s="15"/>
      <c r="CG55" s="61">
        <f t="shared" si="5"/>
        <v>0</v>
      </c>
      <c r="CH55" s="66">
        <f t="shared" si="47"/>
        <v>0</v>
      </c>
      <c r="CI55" s="12">
        <f t="shared" si="47"/>
        <v>0</v>
      </c>
      <c r="CJ55" s="12">
        <f t="shared" si="47"/>
        <v>27500</v>
      </c>
      <c r="CK55" s="12">
        <f t="shared" si="47"/>
        <v>0</v>
      </c>
      <c r="CL55" s="12">
        <f t="shared" si="47"/>
        <v>0</v>
      </c>
      <c r="CM55" s="12">
        <f t="shared" si="47"/>
        <v>0</v>
      </c>
      <c r="CN55" s="16">
        <f t="shared" si="47"/>
        <v>0</v>
      </c>
      <c r="CO55" s="59">
        <f t="shared" si="193"/>
        <v>0</v>
      </c>
      <c r="CP55" s="69">
        <f>1309.52+19841.36</f>
        <v>21150.880000000001</v>
      </c>
      <c r="CQ55" s="68">
        <v>0.5</v>
      </c>
      <c r="CR55" s="12"/>
      <c r="CS55" s="12"/>
      <c r="CT55" s="12"/>
      <c r="CU55" s="12">
        <v>0.2</v>
      </c>
      <c r="CV55" s="15"/>
      <c r="CW55" s="15">
        <v>0.3</v>
      </c>
      <c r="CX55" s="15"/>
      <c r="CY55" s="61">
        <f t="shared" si="7"/>
        <v>0</v>
      </c>
      <c r="CZ55" s="66">
        <f t="shared" si="194"/>
        <v>0</v>
      </c>
      <c r="DA55" s="12">
        <f t="shared" si="194"/>
        <v>0</v>
      </c>
      <c r="DB55" s="12">
        <f t="shared" si="194"/>
        <v>0</v>
      </c>
      <c r="DC55" s="12">
        <f t="shared" si="194"/>
        <v>8460.35</v>
      </c>
      <c r="DD55" s="12">
        <f t="shared" si="194"/>
        <v>0</v>
      </c>
      <c r="DE55" s="12">
        <f t="shared" si="194"/>
        <v>12690.53</v>
      </c>
      <c r="DF55" s="16">
        <f t="shared" si="194"/>
        <v>0</v>
      </c>
      <c r="DG55" s="59">
        <f t="shared" si="195"/>
        <v>0</v>
      </c>
      <c r="DH55" s="69">
        <v>27500</v>
      </c>
      <c r="DI55" s="68">
        <v>0.5</v>
      </c>
      <c r="DJ55" s="12"/>
      <c r="DK55" s="12"/>
      <c r="DL55" s="12"/>
      <c r="DM55" s="12">
        <v>0.2</v>
      </c>
      <c r="DN55" s="15"/>
      <c r="DO55" s="15">
        <v>0.3</v>
      </c>
      <c r="DP55" s="15"/>
      <c r="DQ55" s="61">
        <f t="shared" si="9"/>
        <v>0</v>
      </c>
      <c r="DR55" s="66">
        <f t="shared" si="48"/>
        <v>0</v>
      </c>
      <c r="DS55" s="12">
        <f t="shared" si="48"/>
        <v>0</v>
      </c>
      <c r="DT55" s="12">
        <f t="shared" si="48"/>
        <v>0</v>
      </c>
      <c r="DU55" s="12">
        <f t="shared" si="48"/>
        <v>11000</v>
      </c>
      <c r="DV55" s="12">
        <f t="shared" si="48"/>
        <v>0</v>
      </c>
      <c r="DW55" s="12">
        <f t="shared" si="48"/>
        <v>16500</v>
      </c>
      <c r="DX55" s="16">
        <f t="shared" si="48"/>
        <v>0</v>
      </c>
      <c r="DY55" s="59">
        <f t="shared" si="196"/>
        <v>0</v>
      </c>
      <c r="DZ55" s="69">
        <f>9565.22+15784.02</f>
        <v>25349.24</v>
      </c>
      <c r="EA55" s="68">
        <v>0.5</v>
      </c>
      <c r="EB55" s="12"/>
      <c r="EC55" s="12"/>
      <c r="ED55" s="12"/>
      <c r="EE55" s="15"/>
      <c r="EF55" s="15">
        <v>0.5</v>
      </c>
      <c r="EG55" s="15"/>
      <c r="EH55" s="61">
        <f t="shared" si="197"/>
        <v>0</v>
      </c>
      <c r="EI55" s="66">
        <f t="shared" si="275"/>
        <v>0</v>
      </c>
      <c r="EJ55" s="12">
        <f t="shared" si="275"/>
        <v>0</v>
      </c>
      <c r="EK55" s="12">
        <f t="shared" si="275"/>
        <v>0</v>
      </c>
      <c r="EL55" s="12">
        <f t="shared" si="275"/>
        <v>0</v>
      </c>
      <c r="EM55" s="12">
        <f t="shared" si="275"/>
        <v>25349.24</v>
      </c>
      <c r="EN55" s="16">
        <f t="shared" si="275"/>
        <v>0</v>
      </c>
      <c r="EO55" s="59">
        <f t="shared" si="198"/>
        <v>0</v>
      </c>
      <c r="EP55" s="69">
        <v>27500</v>
      </c>
      <c r="EQ55" s="68">
        <v>0.5</v>
      </c>
      <c r="ER55" s="12"/>
      <c r="ES55" s="12"/>
      <c r="ET55" s="15">
        <v>0.5</v>
      </c>
      <c r="EU55" s="15"/>
      <c r="EV55" s="61">
        <f t="shared" si="199"/>
        <v>0</v>
      </c>
      <c r="EW55" s="66">
        <f t="shared" si="49"/>
        <v>0</v>
      </c>
      <c r="EX55" s="12">
        <f t="shared" si="49"/>
        <v>0</v>
      </c>
      <c r="EY55" s="12">
        <f t="shared" si="49"/>
        <v>27500</v>
      </c>
      <c r="EZ55" s="16">
        <f t="shared" si="49"/>
        <v>0</v>
      </c>
      <c r="FA55" s="59">
        <f t="shared" si="200"/>
        <v>0</v>
      </c>
      <c r="FB55" s="69">
        <v>27500</v>
      </c>
      <c r="FC55" s="68">
        <v>0.5</v>
      </c>
      <c r="FD55" s="12">
        <v>0.5</v>
      </c>
      <c r="FE55" s="15"/>
      <c r="FF55" s="15"/>
      <c r="FG55" s="61">
        <f t="shared" si="201"/>
        <v>0</v>
      </c>
      <c r="FH55" s="66">
        <f t="shared" si="50"/>
        <v>27500</v>
      </c>
      <c r="FI55" s="12">
        <f t="shared" si="50"/>
        <v>0</v>
      </c>
      <c r="FJ55" s="16">
        <f t="shared" si="50"/>
        <v>0</v>
      </c>
      <c r="FK55" s="59">
        <f t="shared" si="202"/>
        <v>0</v>
      </c>
      <c r="FL55" s="69">
        <v>27500</v>
      </c>
      <c r="FM55" s="68">
        <v>0.5</v>
      </c>
      <c r="FN55" s="12"/>
      <c r="FO55" s="15">
        <v>0.5</v>
      </c>
      <c r="FP55" s="15"/>
      <c r="FQ55" s="15"/>
      <c r="FR55" s="15"/>
      <c r="FS55" s="61">
        <f t="shared" si="203"/>
        <v>0</v>
      </c>
      <c r="FT55" s="66">
        <f t="shared" si="296"/>
        <v>0</v>
      </c>
      <c r="FU55" s="12">
        <f t="shared" si="297"/>
        <v>27500</v>
      </c>
      <c r="FV55" s="12">
        <f t="shared" si="206"/>
        <v>0</v>
      </c>
      <c r="FW55" s="12">
        <f t="shared" si="207"/>
        <v>0</v>
      </c>
      <c r="FX55" s="16">
        <f t="shared" si="51"/>
        <v>0</v>
      </c>
      <c r="FY55" s="59">
        <f t="shared" si="52"/>
        <v>0</v>
      </c>
      <c r="FZ55" s="69">
        <v>27500</v>
      </c>
      <c r="GA55" s="68">
        <v>0.5</v>
      </c>
      <c r="GB55" s="12">
        <v>0.5</v>
      </c>
      <c r="GC55" s="15"/>
      <c r="GD55" s="15"/>
      <c r="GE55" s="15"/>
      <c r="GF55" s="61">
        <f t="shared" si="208"/>
        <v>0</v>
      </c>
      <c r="GG55" s="66">
        <f t="shared" si="53"/>
        <v>27500</v>
      </c>
      <c r="GH55" s="66">
        <f>IF($GA55&lt;&gt;0,GB55*$FZ55/$GA55,0)</f>
        <v>27500</v>
      </c>
      <c r="GI55" s="12">
        <f t="shared" si="289"/>
        <v>0</v>
      </c>
      <c r="GJ55" s="12">
        <f t="shared" si="179"/>
        <v>0</v>
      </c>
      <c r="GK55" s="31">
        <f t="shared" si="290"/>
        <v>0</v>
      </c>
      <c r="GL55" s="123">
        <f t="shared" si="291"/>
        <v>0</v>
      </c>
      <c r="GM55" s="410">
        <f t="shared" si="16"/>
        <v>0</v>
      </c>
      <c r="GN55" s="414">
        <v>27500</v>
      </c>
      <c r="GO55" s="68">
        <v>0.5</v>
      </c>
      <c r="GP55" s="12"/>
      <c r="GQ55" s="15">
        <v>0.5</v>
      </c>
      <c r="GR55" s="15"/>
      <c r="GS55" s="15"/>
      <c r="GT55" s="15"/>
      <c r="GU55" s="61">
        <f t="shared" si="54"/>
        <v>0</v>
      </c>
      <c r="GV55" s="66">
        <f t="shared" si="17"/>
        <v>0</v>
      </c>
      <c r="GW55" s="12">
        <f t="shared" si="18"/>
        <v>27500</v>
      </c>
      <c r="GX55" s="12">
        <f t="shared" si="19"/>
        <v>0</v>
      </c>
      <c r="GY55" s="12">
        <f t="shared" si="20"/>
        <v>0</v>
      </c>
      <c r="GZ55" s="16">
        <f t="shared" si="21"/>
        <v>0</v>
      </c>
      <c r="HA55" s="59">
        <f t="shared" si="55"/>
        <v>0</v>
      </c>
      <c r="HB55" s="69">
        <v>30000</v>
      </c>
      <c r="HC55" s="68">
        <v>0.5</v>
      </c>
      <c r="HD55" s="12"/>
      <c r="HE55" s="15">
        <v>0.5</v>
      </c>
      <c r="HF55" s="15"/>
      <c r="HG55" s="15"/>
      <c r="HH55" s="15"/>
      <c r="HI55" s="15"/>
      <c r="HJ55" s="15"/>
      <c r="HK55" s="15"/>
      <c r="HL55" s="61">
        <f t="shared" si="56"/>
        <v>0</v>
      </c>
      <c r="HM55" s="66">
        <f t="shared" si="22"/>
        <v>0</v>
      </c>
      <c r="HN55" s="12">
        <f t="shared" si="23"/>
        <v>30000</v>
      </c>
      <c r="HO55" s="12">
        <f t="shared" si="24"/>
        <v>0</v>
      </c>
      <c r="HP55" s="12">
        <f t="shared" si="25"/>
        <v>0</v>
      </c>
      <c r="HQ55" s="12">
        <f t="shared" si="26"/>
        <v>0</v>
      </c>
      <c r="HR55" s="12">
        <f t="shared" si="27"/>
        <v>0</v>
      </c>
      <c r="HS55" s="12">
        <f t="shared" si="28"/>
        <v>0</v>
      </c>
      <c r="HT55" s="16">
        <f t="shared" si="29"/>
        <v>0</v>
      </c>
      <c r="HU55" s="59">
        <f t="shared" si="57"/>
        <v>0</v>
      </c>
      <c r="HV55" s="69">
        <v>27500</v>
      </c>
      <c r="HW55" s="68">
        <v>0.5</v>
      </c>
      <c r="HX55" s="12"/>
      <c r="HY55" s="15"/>
      <c r="HZ55" s="61">
        <f t="shared" si="58"/>
        <v>0.5</v>
      </c>
      <c r="IA55" s="66">
        <f t="shared" si="59"/>
        <v>0</v>
      </c>
      <c r="IB55" s="16">
        <f t="shared" si="59"/>
        <v>0</v>
      </c>
      <c r="IC55" s="59">
        <f t="shared" si="60"/>
        <v>27500</v>
      </c>
      <c r="ID55" s="129">
        <f>1428.57+26520.76</f>
        <v>27949.33</v>
      </c>
      <c r="IE55" s="68">
        <v>0.5</v>
      </c>
      <c r="IF55" s="12"/>
      <c r="IG55" s="15">
        <v>0.5</v>
      </c>
      <c r="IH55" s="15"/>
      <c r="II55" s="15"/>
      <c r="IJ55" s="15"/>
      <c r="IK55" s="15"/>
      <c r="IL55" s="15"/>
      <c r="IM55" s="15"/>
      <c r="IN55" s="15"/>
      <c r="IO55" s="61">
        <f t="shared" si="61"/>
        <v>0</v>
      </c>
      <c r="IP55" s="66">
        <f t="shared" si="62"/>
        <v>0</v>
      </c>
      <c r="IQ55" s="12">
        <f t="shared" si="63"/>
        <v>27949.33</v>
      </c>
      <c r="IR55" s="12">
        <f t="shared" si="64"/>
        <v>0</v>
      </c>
      <c r="IS55" s="12">
        <f t="shared" si="65"/>
        <v>0</v>
      </c>
      <c r="IT55" s="12">
        <f t="shared" si="66"/>
        <v>0</v>
      </c>
      <c r="IU55" s="12">
        <f t="shared" si="67"/>
        <v>0</v>
      </c>
      <c r="IV55" s="12">
        <f t="shared" si="68"/>
        <v>0</v>
      </c>
      <c r="IW55" s="15">
        <f t="shared" si="69"/>
        <v>0</v>
      </c>
      <c r="IX55" s="16">
        <f t="shared" si="69"/>
        <v>0</v>
      </c>
      <c r="IY55" s="59">
        <f t="shared" si="70"/>
        <v>0</v>
      </c>
      <c r="IZ55" s="129">
        <v>30000</v>
      </c>
      <c r="JA55" s="68">
        <v>0.5</v>
      </c>
      <c r="JB55" s="12"/>
      <c r="JC55" s="15">
        <v>0.5</v>
      </c>
      <c r="JD55" s="15"/>
      <c r="JE55" s="15"/>
      <c r="JF55" s="15"/>
      <c r="JG55" s="15"/>
      <c r="JH55" s="15"/>
      <c r="JI55" s="15"/>
      <c r="JJ55" s="15"/>
      <c r="JK55" s="61">
        <f t="shared" si="295"/>
        <v>0</v>
      </c>
      <c r="JL55" s="66">
        <f t="shared" si="72"/>
        <v>0</v>
      </c>
      <c r="JM55" s="12">
        <f t="shared" si="276"/>
        <v>30000</v>
      </c>
      <c r="JN55" s="12">
        <f t="shared" si="277"/>
        <v>0</v>
      </c>
      <c r="JO55" s="12">
        <f t="shared" si="278"/>
        <v>0</v>
      </c>
      <c r="JP55" s="12">
        <f t="shared" si="279"/>
        <v>0</v>
      </c>
      <c r="JQ55" s="12">
        <f t="shared" si="280"/>
        <v>0</v>
      </c>
      <c r="JR55" s="12">
        <f t="shared" si="281"/>
        <v>0</v>
      </c>
      <c r="JS55" s="12">
        <f t="shared" si="282"/>
        <v>0</v>
      </c>
      <c r="JT55" s="16">
        <f t="shared" si="283"/>
        <v>0</v>
      </c>
      <c r="JU55" s="59">
        <f t="shared" si="81"/>
        <v>0</v>
      </c>
      <c r="JV55" s="129">
        <v>30000</v>
      </c>
      <c r="JW55" s="68">
        <v>0.5</v>
      </c>
      <c r="JX55" s="12"/>
      <c r="JY55" s="12"/>
      <c r="JZ55" s="15"/>
      <c r="KA55" s="15"/>
      <c r="KB55" s="15"/>
      <c r="KC55" s="15">
        <v>0.5</v>
      </c>
      <c r="KD55" s="15"/>
      <c r="KE55" s="15"/>
      <c r="KF55" s="15"/>
      <c r="KG55" s="61">
        <f t="shared" si="82"/>
        <v>0</v>
      </c>
      <c r="KH55" s="146">
        <f t="shared" si="83"/>
        <v>0</v>
      </c>
      <c r="KI55" s="12">
        <f t="shared" si="83"/>
        <v>0</v>
      </c>
      <c r="KJ55" s="12">
        <f t="shared" si="84"/>
        <v>0</v>
      </c>
      <c r="KK55" s="12">
        <f t="shared" si="85"/>
        <v>0</v>
      </c>
      <c r="KL55" s="12">
        <f t="shared" si="86"/>
        <v>0</v>
      </c>
      <c r="KM55" s="12">
        <f t="shared" si="87"/>
        <v>30000</v>
      </c>
      <c r="KN55" s="12">
        <f t="shared" si="88"/>
        <v>0</v>
      </c>
      <c r="KO55" s="12">
        <f t="shared" si="89"/>
        <v>0</v>
      </c>
      <c r="KP55" s="16">
        <f t="shared" si="90"/>
        <v>0</v>
      </c>
      <c r="KQ55" s="59">
        <f t="shared" si="91"/>
        <v>0</v>
      </c>
      <c r="KR55" s="129">
        <v>30000</v>
      </c>
      <c r="KS55" s="68">
        <v>0.5</v>
      </c>
      <c r="KT55" s="12"/>
      <c r="KU55" s="15"/>
      <c r="KV55" s="15"/>
      <c r="KW55" s="15"/>
      <c r="KX55" s="15">
        <v>0.5</v>
      </c>
      <c r="KY55" s="15"/>
      <c r="KZ55" s="15"/>
      <c r="LA55" s="15"/>
      <c r="LB55" s="61">
        <f t="shared" si="92"/>
        <v>0</v>
      </c>
      <c r="LC55" s="66">
        <f t="shared" si="93"/>
        <v>0</v>
      </c>
      <c r="LD55" s="12">
        <f t="shared" si="94"/>
        <v>0</v>
      </c>
      <c r="LE55" s="12">
        <f t="shared" si="95"/>
        <v>0</v>
      </c>
      <c r="LF55" s="12">
        <f t="shared" si="96"/>
        <v>0</v>
      </c>
      <c r="LG55" s="12">
        <f t="shared" si="97"/>
        <v>30000</v>
      </c>
      <c r="LH55" s="12">
        <f t="shared" si="98"/>
        <v>0</v>
      </c>
      <c r="LI55" s="12">
        <f t="shared" si="99"/>
        <v>0</v>
      </c>
      <c r="LJ55" s="16">
        <f t="shared" si="100"/>
        <v>0</v>
      </c>
      <c r="LK55" s="59">
        <f t="shared" si="101"/>
        <v>0</v>
      </c>
      <c r="LL55" s="129">
        <v>30000</v>
      </c>
      <c r="LM55" s="68">
        <v>0.5</v>
      </c>
      <c r="LN55" s="15"/>
      <c r="LO55" s="15"/>
      <c r="LP55" s="15"/>
      <c r="LQ55" s="15">
        <v>0.5</v>
      </c>
      <c r="LR55" s="15"/>
      <c r="LS55" s="15"/>
      <c r="LT55" s="15"/>
      <c r="LU55" s="61">
        <f t="shared" si="102"/>
        <v>0</v>
      </c>
      <c r="LV55" s="66">
        <f t="shared" si="103"/>
        <v>0</v>
      </c>
      <c r="LW55" s="12">
        <f t="shared" si="104"/>
        <v>0</v>
      </c>
      <c r="LX55" s="12">
        <f t="shared" si="105"/>
        <v>0</v>
      </c>
      <c r="LY55" s="12">
        <f t="shared" si="106"/>
        <v>30000</v>
      </c>
      <c r="LZ55" s="12">
        <f t="shared" si="107"/>
        <v>0</v>
      </c>
      <c r="MA55" s="12">
        <f t="shared" si="108"/>
        <v>0</v>
      </c>
      <c r="MB55" s="16">
        <f t="shared" si="109"/>
        <v>0</v>
      </c>
      <c r="MC55" s="59">
        <f t="shared" si="110"/>
        <v>0</v>
      </c>
      <c r="MD55" s="129">
        <v>30000</v>
      </c>
      <c r="ME55" s="68">
        <v>0.5</v>
      </c>
      <c r="MF55" s="15"/>
      <c r="MG55" s="15"/>
      <c r="MH55" s="15">
        <v>0.5</v>
      </c>
      <c r="MI55" s="15"/>
      <c r="MJ55" s="15"/>
      <c r="MK55" s="15"/>
      <c r="ML55" s="15"/>
      <c r="MM55" s="61">
        <f t="shared" si="111"/>
        <v>0</v>
      </c>
      <c r="MN55" s="66">
        <f t="shared" si="112"/>
        <v>0</v>
      </c>
      <c r="MO55" s="12">
        <f t="shared" si="113"/>
        <v>0</v>
      </c>
      <c r="MP55" s="12">
        <f t="shared" si="114"/>
        <v>30000</v>
      </c>
      <c r="MQ55" s="12">
        <f t="shared" si="115"/>
        <v>0</v>
      </c>
      <c r="MR55" s="12">
        <f t="shared" si="116"/>
        <v>0</v>
      </c>
      <c r="MS55" s="12">
        <f t="shared" si="116"/>
        <v>0</v>
      </c>
      <c r="MT55" s="16">
        <f t="shared" si="117"/>
        <v>0</v>
      </c>
      <c r="MU55" s="59">
        <f t="shared" si="189"/>
        <v>0</v>
      </c>
      <c r="MV55" s="617">
        <v>30000</v>
      </c>
      <c r="MW55" s="619">
        <v>0.5</v>
      </c>
      <c r="MX55" s="15"/>
      <c r="MY55" s="15"/>
      <c r="MZ55" s="15">
        <v>0.5</v>
      </c>
      <c r="NA55" s="15"/>
      <c r="NB55" s="15"/>
      <c r="NC55" s="15"/>
      <c r="ND55" s="15"/>
      <c r="NE55" s="61">
        <f t="shared" si="118"/>
        <v>0</v>
      </c>
      <c r="NF55" s="66">
        <f t="shared" si="119"/>
        <v>0</v>
      </c>
      <c r="NG55" s="12">
        <f t="shared" si="120"/>
        <v>0</v>
      </c>
      <c r="NH55" s="12">
        <f t="shared" si="121"/>
        <v>30000</v>
      </c>
      <c r="NI55" s="12">
        <f t="shared" si="122"/>
        <v>0</v>
      </c>
      <c r="NJ55" s="12">
        <f t="shared" si="123"/>
        <v>0</v>
      </c>
      <c r="NK55" s="12">
        <f t="shared" si="123"/>
        <v>0</v>
      </c>
      <c r="NL55" s="16">
        <f t="shared" si="124"/>
        <v>0</v>
      </c>
      <c r="NM55" s="59">
        <f t="shared" si="125"/>
        <v>0</v>
      </c>
      <c r="NN55" s="617">
        <v>30000</v>
      </c>
      <c r="NO55" s="619">
        <v>0.5</v>
      </c>
      <c r="NP55" s="15"/>
      <c r="NQ55" s="15">
        <v>0.5</v>
      </c>
      <c r="NR55" s="15"/>
      <c r="NS55" s="15"/>
      <c r="NT55" s="15"/>
      <c r="NU55" s="61">
        <f t="shared" si="126"/>
        <v>0</v>
      </c>
      <c r="NV55" s="66">
        <f t="shared" si="190"/>
        <v>0</v>
      </c>
      <c r="NW55" s="12">
        <f t="shared" si="209"/>
        <v>30000</v>
      </c>
      <c r="NX55" s="12">
        <f t="shared" si="210"/>
        <v>0</v>
      </c>
      <c r="NY55" s="12">
        <f t="shared" si="211"/>
        <v>0</v>
      </c>
      <c r="NZ55" s="16">
        <f t="shared" si="212"/>
        <v>0</v>
      </c>
      <c r="OA55" s="59">
        <f t="shared" si="131"/>
        <v>0</v>
      </c>
      <c r="OB55" s="131">
        <v>30000</v>
      </c>
      <c r="OC55" s="133">
        <v>0.5</v>
      </c>
      <c r="OD55" s="15"/>
      <c r="OE55" s="15">
        <v>0.5</v>
      </c>
      <c r="OF55" s="15"/>
      <c r="OG55" s="15"/>
      <c r="OH55" s="15"/>
      <c r="OI55" s="61">
        <f t="shared" si="163"/>
        <v>0</v>
      </c>
      <c r="OJ55" s="66">
        <f t="shared" si="132"/>
        <v>0</v>
      </c>
      <c r="OK55" s="12">
        <f t="shared" si="133"/>
        <v>30000</v>
      </c>
      <c r="OL55" s="12">
        <f t="shared" si="134"/>
        <v>0</v>
      </c>
      <c r="OM55" s="12">
        <f t="shared" si="135"/>
        <v>0</v>
      </c>
      <c r="ON55" s="16">
        <f t="shared" si="136"/>
        <v>0</v>
      </c>
      <c r="OO55" s="59">
        <f t="shared" si="137"/>
        <v>0</v>
      </c>
      <c r="OP55" s="131">
        <v>30000</v>
      </c>
      <c r="OQ55" s="133">
        <v>0.5</v>
      </c>
      <c r="OR55" s="15"/>
      <c r="OS55" s="15">
        <v>0.25</v>
      </c>
      <c r="OT55" s="15"/>
      <c r="OU55" s="15"/>
      <c r="OV55" s="15"/>
      <c r="OW55" s="61">
        <f t="shared" si="138"/>
        <v>0.25</v>
      </c>
      <c r="OX55" s="66">
        <f t="shared" si="139"/>
        <v>0</v>
      </c>
      <c r="OY55" s="12">
        <f t="shared" si="140"/>
        <v>15000</v>
      </c>
      <c r="OZ55" s="12">
        <f t="shared" si="141"/>
        <v>0</v>
      </c>
      <c r="PA55" s="12">
        <f t="shared" si="142"/>
        <v>0</v>
      </c>
      <c r="PB55" s="16">
        <f t="shared" si="143"/>
        <v>0</v>
      </c>
      <c r="PC55" s="59">
        <f t="shared" si="144"/>
        <v>15000</v>
      </c>
      <c r="PD55" s="131">
        <v>30000</v>
      </c>
      <c r="PE55" s="133">
        <v>0.5</v>
      </c>
      <c r="PF55" s="15"/>
      <c r="PG55" s="15"/>
      <c r="PH55" s="15"/>
      <c r="PI55" s="15"/>
      <c r="PJ55" s="15"/>
      <c r="PK55" s="61">
        <f t="shared" si="145"/>
        <v>0.5</v>
      </c>
      <c r="PL55" s="66">
        <f t="shared" si="174"/>
        <v>0</v>
      </c>
      <c r="PM55" s="12">
        <f t="shared" si="175"/>
        <v>0</v>
      </c>
      <c r="PN55" s="12">
        <f t="shared" si="176"/>
        <v>0</v>
      </c>
      <c r="PO55" s="12">
        <f t="shared" si="177"/>
        <v>0</v>
      </c>
      <c r="PP55" s="16">
        <f t="shared" si="178"/>
        <v>0</v>
      </c>
      <c r="PQ55" s="59">
        <f t="shared" si="150"/>
        <v>30000</v>
      </c>
      <c r="PS55" s="884">
        <f t="shared" si="151"/>
        <v>0</v>
      </c>
    </row>
    <row r="56" spans="2:435" x14ac:dyDescent="0.2">
      <c r="B56" s="24">
        <v>44</v>
      </c>
      <c r="C56" s="25" t="s">
        <v>18</v>
      </c>
      <c r="D56" s="26">
        <v>50000</v>
      </c>
      <c r="E56" s="42">
        <v>1</v>
      </c>
      <c r="F56" s="31">
        <v>1</v>
      </c>
      <c r="G56" s="12"/>
      <c r="H56" s="12"/>
      <c r="I56" s="12"/>
      <c r="J56" s="12"/>
      <c r="K56" s="12"/>
      <c r="L56" s="15"/>
      <c r="M56" s="61">
        <f t="shared" si="41"/>
        <v>0</v>
      </c>
      <c r="N56" s="31">
        <f t="shared" si="292"/>
        <v>50000</v>
      </c>
      <c r="O56" s="12">
        <f t="shared" si="292"/>
        <v>0</v>
      </c>
      <c r="P56" s="12">
        <f t="shared" si="292"/>
        <v>0</v>
      </c>
      <c r="Q56" s="12">
        <f t="shared" si="292"/>
        <v>0</v>
      </c>
      <c r="R56" s="12">
        <f t="shared" si="292"/>
        <v>0</v>
      </c>
      <c r="S56" s="12">
        <f t="shared" si="292"/>
        <v>0</v>
      </c>
      <c r="T56" s="15">
        <f t="shared" si="292"/>
        <v>0</v>
      </c>
      <c r="U56" s="59">
        <f t="shared" si="191"/>
        <v>0</v>
      </c>
      <c r="V56" s="26">
        <v>55000</v>
      </c>
      <c r="W56" s="42">
        <v>1</v>
      </c>
      <c r="X56" s="31"/>
      <c r="Y56" s="12"/>
      <c r="Z56" s="12"/>
      <c r="AA56" s="12">
        <v>0.25</v>
      </c>
      <c r="AB56" s="12"/>
      <c r="AC56" s="12"/>
      <c r="AD56" s="15"/>
      <c r="AE56" s="15">
        <v>0.75</v>
      </c>
      <c r="AF56" s="61">
        <f t="shared" si="42"/>
        <v>0</v>
      </c>
      <c r="AG56" s="35">
        <f t="shared" si="43"/>
        <v>0</v>
      </c>
      <c r="AH56" s="35">
        <f t="shared" si="43"/>
        <v>0</v>
      </c>
      <c r="AI56" s="35">
        <f t="shared" si="43"/>
        <v>0</v>
      </c>
      <c r="AJ56" s="35">
        <f t="shared" si="43"/>
        <v>13750</v>
      </c>
      <c r="AK56" s="35">
        <f t="shared" si="43"/>
        <v>0</v>
      </c>
      <c r="AL56" s="35">
        <f t="shared" si="43"/>
        <v>0</v>
      </c>
      <c r="AM56" s="35">
        <f t="shared" si="43"/>
        <v>0</v>
      </c>
      <c r="AN56" s="35">
        <f t="shared" si="43"/>
        <v>41250</v>
      </c>
      <c r="AO56" s="62">
        <f t="shared" si="44"/>
        <v>0</v>
      </c>
      <c r="AP56" s="26">
        <v>55000</v>
      </c>
      <c r="AQ56" s="42">
        <v>1</v>
      </c>
      <c r="AR56" s="12"/>
      <c r="AS56" s="12"/>
      <c r="AT56" s="12"/>
      <c r="AU56" s="12"/>
      <c r="AV56" s="15"/>
      <c r="AW56" s="15">
        <v>1</v>
      </c>
      <c r="AX56" s="61">
        <f t="shared" si="45"/>
        <v>0</v>
      </c>
      <c r="AY56" s="35">
        <f t="shared" si="273"/>
        <v>0</v>
      </c>
      <c r="AZ56" s="35">
        <f t="shared" si="273"/>
        <v>0</v>
      </c>
      <c r="BA56" s="35">
        <f t="shared" si="273"/>
        <v>0</v>
      </c>
      <c r="BB56" s="35">
        <f t="shared" si="273"/>
        <v>0</v>
      </c>
      <c r="BC56" s="35">
        <f t="shared" si="273"/>
        <v>0</v>
      </c>
      <c r="BD56" s="34">
        <f t="shared" si="273"/>
        <v>55000</v>
      </c>
      <c r="BE56" s="59">
        <f t="shared" si="46"/>
        <v>0</v>
      </c>
      <c r="BF56" s="26">
        <v>55000</v>
      </c>
      <c r="BG56" s="42">
        <v>1</v>
      </c>
      <c r="BH56" s="12"/>
      <c r="BI56" s="12"/>
      <c r="BJ56" s="12">
        <v>0.85</v>
      </c>
      <c r="BK56" s="12"/>
      <c r="BL56" s="15"/>
      <c r="BM56" s="15">
        <v>0.15</v>
      </c>
      <c r="BN56" s="15"/>
      <c r="BO56" s="61">
        <f t="shared" si="3"/>
        <v>0</v>
      </c>
      <c r="BP56" s="65">
        <f t="shared" si="274"/>
        <v>0</v>
      </c>
      <c r="BQ56" s="33">
        <f t="shared" si="274"/>
        <v>0</v>
      </c>
      <c r="BR56" s="33">
        <f t="shared" si="274"/>
        <v>46750</v>
      </c>
      <c r="BS56" s="33">
        <f t="shared" si="274"/>
        <v>0</v>
      </c>
      <c r="BT56" s="33">
        <f t="shared" si="274"/>
        <v>0</v>
      </c>
      <c r="BU56" s="33">
        <f t="shared" si="274"/>
        <v>8250</v>
      </c>
      <c r="BV56" s="34">
        <f t="shared" si="274"/>
        <v>0</v>
      </c>
      <c r="BW56" s="59">
        <f t="shared" si="192"/>
        <v>0</v>
      </c>
      <c r="BX56" s="69">
        <v>55000</v>
      </c>
      <c r="BY56" s="68">
        <v>1</v>
      </c>
      <c r="BZ56" s="31"/>
      <c r="CA56" s="12"/>
      <c r="CB56" s="12"/>
      <c r="CC56" s="12"/>
      <c r="CD56" s="15"/>
      <c r="CE56" s="15">
        <v>1</v>
      </c>
      <c r="CF56" s="15"/>
      <c r="CG56" s="61">
        <f t="shared" si="5"/>
        <v>0</v>
      </c>
      <c r="CH56" s="66">
        <f t="shared" si="47"/>
        <v>0</v>
      </c>
      <c r="CI56" s="12">
        <f t="shared" si="47"/>
        <v>0</v>
      </c>
      <c r="CJ56" s="12">
        <f t="shared" si="47"/>
        <v>0</v>
      </c>
      <c r="CK56" s="12">
        <f t="shared" si="47"/>
        <v>0</v>
      </c>
      <c r="CL56" s="12">
        <f t="shared" si="47"/>
        <v>0</v>
      </c>
      <c r="CM56" s="12">
        <f t="shared" si="47"/>
        <v>55000</v>
      </c>
      <c r="CN56" s="16">
        <f t="shared" si="47"/>
        <v>0</v>
      </c>
      <c r="CO56" s="59">
        <f t="shared" si="193"/>
        <v>0</v>
      </c>
      <c r="CP56" s="69">
        <f>2619.05+43253.84</f>
        <v>45872.89</v>
      </c>
      <c r="CQ56" s="68">
        <v>1</v>
      </c>
      <c r="CR56" s="12"/>
      <c r="CS56" s="12"/>
      <c r="CT56" s="12">
        <v>1</v>
      </c>
      <c r="CU56" s="12"/>
      <c r="CV56" s="15"/>
      <c r="CW56" s="15"/>
      <c r="CX56" s="15"/>
      <c r="CY56" s="61">
        <f t="shared" si="7"/>
        <v>0</v>
      </c>
      <c r="CZ56" s="66">
        <f t="shared" si="194"/>
        <v>0</v>
      </c>
      <c r="DA56" s="12">
        <f t="shared" si="194"/>
        <v>0</v>
      </c>
      <c r="DB56" s="12">
        <f t="shared" si="194"/>
        <v>45872.89</v>
      </c>
      <c r="DC56" s="12">
        <f t="shared" si="194"/>
        <v>0</v>
      </c>
      <c r="DD56" s="12">
        <f t="shared" si="194"/>
        <v>0</v>
      </c>
      <c r="DE56" s="12">
        <f t="shared" si="194"/>
        <v>0</v>
      </c>
      <c r="DF56" s="16">
        <f t="shared" si="194"/>
        <v>0</v>
      </c>
      <c r="DG56" s="59">
        <f t="shared" si="195"/>
        <v>0</v>
      </c>
      <c r="DH56" s="69">
        <v>55000</v>
      </c>
      <c r="DI56" s="68">
        <v>1</v>
      </c>
      <c r="DJ56" s="12"/>
      <c r="DK56" s="12"/>
      <c r="DL56" s="12">
        <v>1</v>
      </c>
      <c r="DM56" s="12"/>
      <c r="DN56" s="15"/>
      <c r="DO56" s="15"/>
      <c r="DP56" s="15"/>
      <c r="DQ56" s="61">
        <f t="shared" si="9"/>
        <v>0</v>
      </c>
      <c r="DR56" s="66">
        <f t="shared" si="48"/>
        <v>0</v>
      </c>
      <c r="DS56" s="12">
        <f t="shared" si="48"/>
        <v>0</v>
      </c>
      <c r="DT56" s="12">
        <f t="shared" si="48"/>
        <v>55000</v>
      </c>
      <c r="DU56" s="12">
        <f t="shared" si="48"/>
        <v>0</v>
      </c>
      <c r="DV56" s="12">
        <f t="shared" si="48"/>
        <v>0</v>
      </c>
      <c r="DW56" s="12">
        <f t="shared" si="48"/>
        <v>0</v>
      </c>
      <c r="DX56" s="16">
        <f t="shared" si="48"/>
        <v>0</v>
      </c>
      <c r="DY56" s="59">
        <f t="shared" si="196"/>
        <v>0</v>
      </c>
      <c r="DZ56" s="69">
        <f>28695.65+18352.24</f>
        <v>47047.89</v>
      </c>
      <c r="EA56" s="68">
        <v>1</v>
      </c>
      <c r="EB56" s="12">
        <v>0.5</v>
      </c>
      <c r="EC56" s="12"/>
      <c r="ED56" s="12"/>
      <c r="EE56" s="15"/>
      <c r="EF56" s="15">
        <v>0.5</v>
      </c>
      <c r="EG56" s="15"/>
      <c r="EH56" s="61">
        <f t="shared" si="197"/>
        <v>0</v>
      </c>
      <c r="EI56" s="66">
        <f t="shared" si="275"/>
        <v>23523.95</v>
      </c>
      <c r="EJ56" s="12">
        <f t="shared" si="275"/>
        <v>0</v>
      </c>
      <c r="EK56" s="12">
        <f t="shared" si="275"/>
        <v>0</v>
      </c>
      <c r="EL56" s="12">
        <f t="shared" si="275"/>
        <v>0</v>
      </c>
      <c r="EM56" s="12">
        <f t="shared" si="275"/>
        <v>23523.95</v>
      </c>
      <c r="EN56" s="16">
        <f t="shared" si="275"/>
        <v>0</v>
      </c>
      <c r="EO56" s="59">
        <f t="shared" si="198"/>
        <v>-0.01</v>
      </c>
      <c r="EP56" s="69">
        <v>27500</v>
      </c>
      <c r="EQ56" s="68">
        <v>0.5</v>
      </c>
      <c r="ER56" s="12">
        <v>0.5</v>
      </c>
      <c r="ES56" s="12"/>
      <c r="ET56" s="15"/>
      <c r="EU56" s="15"/>
      <c r="EV56" s="61">
        <f t="shared" si="199"/>
        <v>0</v>
      </c>
      <c r="EW56" s="66">
        <f t="shared" si="49"/>
        <v>27500</v>
      </c>
      <c r="EX56" s="12">
        <f t="shared" si="49"/>
        <v>0</v>
      </c>
      <c r="EY56" s="12">
        <f t="shared" si="49"/>
        <v>0</v>
      </c>
      <c r="EZ56" s="16">
        <f t="shared" si="49"/>
        <v>0</v>
      </c>
      <c r="FA56" s="59">
        <f t="shared" si="200"/>
        <v>0</v>
      </c>
      <c r="FB56" s="69">
        <v>27500</v>
      </c>
      <c r="FC56" s="68">
        <v>0.5</v>
      </c>
      <c r="FD56" s="12">
        <v>0.5</v>
      </c>
      <c r="FE56" s="15"/>
      <c r="FF56" s="15"/>
      <c r="FG56" s="61">
        <f t="shared" si="201"/>
        <v>0</v>
      </c>
      <c r="FH56" s="66">
        <f t="shared" si="50"/>
        <v>27500</v>
      </c>
      <c r="FI56" s="12">
        <f t="shared" si="50"/>
        <v>0</v>
      </c>
      <c r="FJ56" s="16">
        <f t="shared" si="50"/>
        <v>0</v>
      </c>
      <c r="FK56" s="59">
        <f t="shared" si="202"/>
        <v>0</v>
      </c>
      <c r="FL56" s="69">
        <v>27500</v>
      </c>
      <c r="FM56" s="68">
        <v>0.5</v>
      </c>
      <c r="FN56" s="12"/>
      <c r="FO56" s="15">
        <v>0.5</v>
      </c>
      <c r="FP56" s="15"/>
      <c r="FQ56" s="15"/>
      <c r="FR56" s="15"/>
      <c r="FS56" s="61">
        <f t="shared" si="203"/>
        <v>0</v>
      </c>
      <c r="FT56" s="66">
        <f t="shared" si="296"/>
        <v>0</v>
      </c>
      <c r="FU56" s="12">
        <f t="shared" si="297"/>
        <v>27500</v>
      </c>
      <c r="FV56" s="12">
        <f t="shared" si="206"/>
        <v>0</v>
      </c>
      <c r="FW56" s="12">
        <f t="shared" si="207"/>
        <v>0</v>
      </c>
      <c r="FX56" s="16">
        <f t="shared" si="51"/>
        <v>0</v>
      </c>
      <c r="FY56" s="59">
        <f t="shared" si="52"/>
        <v>0</v>
      </c>
      <c r="FZ56" s="69">
        <f>27500*5+40000</f>
        <v>177500</v>
      </c>
      <c r="GA56" s="68">
        <v>0.5</v>
      </c>
      <c r="GB56" s="12">
        <v>0.5</v>
      </c>
      <c r="GC56" s="15"/>
      <c r="GD56" s="15"/>
      <c r="GE56" s="15"/>
      <c r="GF56" s="61">
        <f t="shared" si="208"/>
        <v>0</v>
      </c>
      <c r="GG56" s="66">
        <f t="shared" si="53"/>
        <v>177500</v>
      </c>
      <c r="GH56" s="120">
        <f>IF($GA56&lt;&gt;0,GB56*($FZ56-150000)/$GA56,0)</f>
        <v>27500</v>
      </c>
      <c r="GI56" s="12">
        <f t="shared" si="289"/>
        <v>0</v>
      </c>
      <c r="GJ56" s="12">
        <f t="shared" si="179"/>
        <v>0</v>
      </c>
      <c r="GK56" s="31">
        <f t="shared" si="290"/>
        <v>0</v>
      </c>
      <c r="GL56" s="123">
        <f t="shared" si="291"/>
        <v>0</v>
      </c>
      <c r="GM56" s="410">
        <f t="shared" si="16"/>
        <v>0</v>
      </c>
      <c r="GN56" s="414">
        <f>27500</f>
        <v>27500</v>
      </c>
      <c r="GO56" s="68">
        <v>0.5</v>
      </c>
      <c r="GP56" s="12"/>
      <c r="GQ56" s="15">
        <v>0.5</v>
      </c>
      <c r="GR56" s="15"/>
      <c r="GS56" s="15"/>
      <c r="GT56" s="15"/>
      <c r="GU56" s="61">
        <f t="shared" si="54"/>
        <v>0</v>
      </c>
      <c r="GV56" s="66">
        <f t="shared" si="17"/>
        <v>0</v>
      </c>
      <c r="GW56" s="12">
        <f t="shared" si="18"/>
        <v>27500</v>
      </c>
      <c r="GX56" s="12">
        <f t="shared" si="19"/>
        <v>0</v>
      </c>
      <c r="GY56" s="12">
        <f t="shared" si="20"/>
        <v>0</v>
      </c>
      <c r="GZ56" s="16">
        <f t="shared" si="21"/>
        <v>0</v>
      </c>
      <c r="HA56" s="59">
        <f t="shared" si="55"/>
        <v>0</v>
      </c>
      <c r="HB56" s="69">
        <v>30000</v>
      </c>
      <c r="HC56" s="68">
        <v>0.5</v>
      </c>
      <c r="HD56" s="12"/>
      <c r="HE56" s="15">
        <v>0.5</v>
      </c>
      <c r="HF56" s="15"/>
      <c r="HG56" s="15"/>
      <c r="HH56" s="15"/>
      <c r="HI56" s="15"/>
      <c r="HJ56" s="15"/>
      <c r="HK56" s="15"/>
      <c r="HL56" s="61">
        <f t="shared" si="56"/>
        <v>0</v>
      </c>
      <c r="HM56" s="66">
        <f t="shared" si="22"/>
        <v>0</v>
      </c>
      <c r="HN56" s="12">
        <f t="shared" si="23"/>
        <v>30000</v>
      </c>
      <c r="HO56" s="12">
        <f t="shared" si="24"/>
        <v>0</v>
      </c>
      <c r="HP56" s="12">
        <f t="shared" si="25"/>
        <v>0</v>
      </c>
      <c r="HQ56" s="12">
        <f t="shared" si="26"/>
        <v>0</v>
      </c>
      <c r="HR56" s="12">
        <f t="shared" si="27"/>
        <v>0</v>
      </c>
      <c r="HS56" s="12">
        <f t="shared" si="28"/>
        <v>0</v>
      </c>
      <c r="HT56" s="16">
        <f t="shared" si="29"/>
        <v>0</v>
      </c>
      <c r="HU56" s="59">
        <f t="shared" si="57"/>
        <v>0</v>
      </c>
      <c r="HV56" s="69">
        <f>27500</f>
        <v>27500</v>
      </c>
      <c r="HW56" s="68">
        <v>0.5</v>
      </c>
      <c r="HX56" s="12"/>
      <c r="HY56" s="15"/>
      <c r="HZ56" s="61">
        <f t="shared" si="58"/>
        <v>0.5</v>
      </c>
      <c r="IA56" s="66">
        <f t="shared" si="59"/>
        <v>0</v>
      </c>
      <c r="IB56" s="16">
        <f t="shared" si="59"/>
        <v>0</v>
      </c>
      <c r="IC56" s="59">
        <f t="shared" si="60"/>
        <v>27500</v>
      </c>
      <c r="ID56" s="129">
        <f>1428.57+42424.48</f>
        <v>43853.05</v>
      </c>
      <c r="IE56" s="68">
        <v>0.5</v>
      </c>
      <c r="IF56" s="12"/>
      <c r="IG56" s="15">
        <v>0.5</v>
      </c>
      <c r="IH56" s="15"/>
      <c r="II56" s="15"/>
      <c r="IJ56" s="15"/>
      <c r="IK56" s="15"/>
      <c r="IL56" s="15"/>
      <c r="IM56" s="15"/>
      <c r="IN56" s="15"/>
      <c r="IO56" s="61">
        <f t="shared" si="61"/>
        <v>0</v>
      </c>
      <c r="IP56" s="66">
        <f t="shared" si="62"/>
        <v>0</v>
      </c>
      <c r="IQ56" s="12">
        <f t="shared" si="63"/>
        <v>43853.05</v>
      </c>
      <c r="IR56" s="12">
        <f t="shared" si="64"/>
        <v>0</v>
      </c>
      <c r="IS56" s="12">
        <f t="shared" si="65"/>
        <v>0</v>
      </c>
      <c r="IT56" s="12">
        <f t="shared" si="66"/>
        <v>0</v>
      </c>
      <c r="IU56" s="12">
        <f t="shared" si="67"/>
        <v>0</v>
      </c>
      <c r="IV56" s="12">
        <f t="shared" si="68"/>
        <v>0</v>
      </c>
      <c r="IW56" s="15">
        <f t="shared" si="69"/>
        <v>0</v>
      </c>
      <c r="IX56" s="16">
        <f t="shared" si="69"/>
        <v>0</v>
      </c>
      <c r="IY56" s="59">
        <f t="shared" si="70"/>
        <v>0</v>
      </c>
      <c r="IZ56" s="129">
        <v>30000</v>
      </c>
      <c r="JA56" s="68">
        <v>0.5</v>
      </c>
      <c r="JB56" s="12"/>
      <c r="JC56" s="15">
        <v>0.5</v>
      </c>
      <c r="JD56" s="15"/>
      <c r="JE56" s="15"/>
      <c r="JF56" s="15"/>
      <c r="JG56" s="15"/>
      <c r="JH56" s="15"/>
      <c r="JI56" s="15"/>
      <c r="JJ56" s="15"/>
      <c r="JK56" s="61">
        <f t="shared" si="295"/>
        <v>0</v>
      </c>
      <c r="JL56" s="66">
        <f t="shared" si="72"/>
        <v>0</v>
      </c>
      <c r="JM56" s="12">
        <f t="shared" si="276"/>
        <v>30000</v>
      </c>
      <c r="JN56" s="12">
        <f t="shared" si="277"/>
        <v>0</v>
      </c>
      <c r="JO56" s="12">
        <f t="shared" si="278"/>
        <v>0</v>
      </c>
      <c r="JP56" s="12">
        <f t="shared" si="279"/>
        <v>0</v>
      </c>
      <c r="JQ56" s="12">
        <f t="shared" si="280"/>
        <v>0</v>
      </c>
      <c r="JR56" s="12">
        <f t="shared" si="281"/>
        <v>0</v>
      </c>
      <c r="JS56" s="12">
        <f t="shared" si="282"/>
        <v>0</v>
      </c>
      <c r="JT56" s="16">
        <f t="shared" si="283"/>
        <v>0</v>
      </c>
      <c r="JU56" s="59">
        <f t="shared" si="81"/>
        <v>0</v>
      </c>
      <c r="JV56" s="129">
        <v>30000</v>
      </c>
      <c r="JW56" s="68">
        <v>0.5</v>
      </c>
      <c r="JX56" s="12"/>
      <c r="JY56" s="12"/>
      <c r="JZ56" s="15"/>
      <c r="KA56" s="15"/>
      <c r="KB56" s="15"/>
      <c r="KC56" s="15">
        <v>0.5</v>
      </c>
      <c r="KD56" s="15"/>
      <c r="KE56" s="15"/>
      <c r="KF56" s="15"/>
      <c r="KG56" s="61">
        <f t="shared" si="82"/>
        <v>0</v>
      </c>
      <c r="KH56" s="146">
        <f t="shared" si="83"/>
        <v>0</v>
      </c>
      <c r="KI56" s="12">
        <f t="shared" si="83"/>
        <v>0</v>
      </c>
      <c r="KJ56" s="12">
        <f t="shared" si="84"/>
        <v>0</v>
      </c>
      <c r="KK56" s="12">
        <f t="shared" si="85"/>
        <v>0</v>
      </c>
      <c r="KL56" s="12">
        <f t="shared" si="86"/>
        <v>0</v>
      </c>
      <c r="KM56" s="12">
        <f t="shared" si="87"/>
        <v>30000</v>
      </c>
      <c r="KN56" s="12">
        <f t="shared" si="88"/>
        <v>0</v>
      </c>
      <c r="KO56" s="12">
        <f t="shared" si="89"/>
        <v>0</v>
      </c>
      <c r="KP56" s="16">
        <f t="shared" si="90"/>
        <v>0</v>
      </c>
      <c r="KQ56" s="59">
        <f t="shared" si="91"/>
        <v>0</v>
      </c>
      <c r="KR56" s="129">
        <v>30000</v>
      </c>
      <c r="KS56" s="68">
        <v>0.5</v>
      </c>
      <c r="KT56" s="12"/>
      <c r="KU56" s="15"/>
      <c r="KV56" s="15"/>
      <c r="KW56" s="15"/>
      <c r="KX56" s="15"/>
      <c r="KY56" s="15"/>
      <c r="KZ56" s="15"/>
      <c r="LA56" s="15">
        <v>0.5</v>
      </c>
      <c r="LB56" s="61">
        <f t="shared" si="92"/>
        <v>0</v>
      </c>
      <c r="LC56" s="66">
        <f t="shared" si="93"/>
        <v>0</v>
      </c>
      <c r="LD56" s="12">
        <f t="shared" si="94"/>
        <v>0</v>
      </c>
      <c r="LE56" s="12">
        <f t="shared" si="95"/>
        <v>0</v>
      </c>
      <c r="LF56" s="12">
        <f t="shared" si="96"/>
        <v>0</v>
      </c>
      <c r="LG56" s="12">
        <f t="shared" si="97"/>
        <v>0</v>
      </c>
      <c r="LH56" s="12">
        <f t="shared" si="98"/>
        <v>0</v>
      </c>
      <c r="LI56" s="12">
        <f t="shared" si="99"/>
        <v>0</v>
      </c>
      <c r="LJ56" s="16">
        <f t="shared" si="100"/>
        <v>30000</v>
      </c>
      <c r="LK56" s="59">
        <f t="shared" si="101"/>
        <v>0</v>
      </c>
      <c r="LL56" s="129">
        <v>30000</v>
      </c>
      <c r="LM56" s="68">
        <v>0.5</v>
      </c>
      <c r="LN56" s="15"/>
      <c r="LO56" s="15"/>
      <c r="LP56" s="15"/>
      <c r="LQ56" s="15"/>
      <c r="LR56" s="15"/>
      <c r="LS56" s="15"/>
      <c r="LT56" s="15">
        <v>0.25</v>
      </c>
      <c r="LU56" s="61">
        <f t="shared" si="102"/>
        <v>0.25</v>
      </c>
      <c r="LV56" s="66">
        <f t="shared" si="103"/>
        <v>0</v>
      </c>
      <c r="LW56" s="12">
        <f t="shared" si="104"/>
        <v>0</v>
      </c>
      <c r="LX56" s="12">
        <f t="shared" si="105"/>
        <v>0</v>
      </c>
      <c r="LY56" s="12">
        <f t="shared" si="106"/>
        <v>0</v>
      </c>
      <c r="LZ56" s="12">
        <f t="shared" si="107"/>
        <v>0</v>
      </c>
      <c r="MA56" s="12">
        <f t="shared" si="108"/>
        <v>0</v>
      </c>
      <c r="MB56" s="16">
        <f t="shared" si="109"/>
        <v>15000</v>
      </c>
      <c r="MC56" s="59">
        <f t="shared" si="110"/>
        <v>15000</v>
      </c>
      <c r="MD56" s="129">
        <v>30000</v>
      </c>
      <c r="ME56" s="68">
        <v>0.5</v>
      </c>
      <c r="MF56" s="15"/>
      <c r="MG56" s="15"/>
      <c r="MH56" s="15"/>
      <c r="MI56" s="15"/>
      <c r="MJ56" s="15"/>
      <c r="MK56" s="15"/>
      <c r="ML56" s="15">
        <v>0.5</v>
      </c>
      <c r="MM56" s="61">
        <f t="shared" si="111"/>
        <v>0</v>
      </c>
      <c r="MN56" s="66">
        <f t="shared" si="112"/>
        <v>0</v>
      </c>
      <c r="MO56" s="12">
        <f t="shared" si="113"/>
        <v>0</v>
      </c>
      <c r="MP56" s="12">
        <f t="shared" si="114"/>
        <v>0</v>
      </c>
      <c r="MQ56" s="12">
        <f t="shared" si="115"/>
        <v>0</v>
      </c>
      <c r="MR56" s="12">
        <f t="shared" si="116"/>
        <v>0</v>
      </c>
      <c r="MS56" s="12">
        <f t="shared" si="116"/>
        <v>0</v>
      </c>
      <c r="MT56" s="16">
        <f t="shared" si="117"/>
        <v>30000</v>
      </c>
      <c r="MU56" s="59">
        <f t="shared" si="189"/>
        <v>0</v>
      </c>
      <c r="MV56" s="617">
        <v>30000</v>
      </c>
      <c r="MW56" s="619">
        <v>0.5</v>
      </c>
      <c r="MX56" s="15"/>
      <c r="MY56" s="15"/>
      <c r="MZ56" s="15"/>
      <c r="NA56" s="15"/>
      <c r="NB56" s="15"/>
      <c r="NC56" s="15"/>
      <c r="ND56" s="15"/>
      <c r="NE56" s="61">
        <f t="shared" si="118"/>
        <v>0.5</v>
      </c>
      <c r="NF56" s="66">
        <f t="shared" si="119"/>
        <v>0</v>
      </c>
      <c r="NG56" s="12">
        <f t="shared" si="120"/>
        <v>0</v>
      </c>
      <c r="NH56" s="12">
        <f t="shared" si="121"/>
        <v>0</v>
      </c>
      <c r="NI56" s="12">
        <f t="shared" si="122"/>
        <v>0</v>
      </c>
      <c r="NJ56" s="12">
        <f t="shared" si="123"/>
        <v>0</v>
      </c>
      <c r="NK56" s="12">
        <f t="shared" si="123"/>
        <v>0</v>
      </c>
      <c r="NL56" s="16">
        <f t="shared" si="124"/>
        <v>0</v>
      </c>
      <c r="NM56" s="59">
        <f t="shared" si="125"/>
        <v>30000</v>
      </c>
      <c r="NN56" s="617">
        <v>30000</v>
      </c>
      <c r="NO56" s="619">
        <v>0.5</v>
      </c>
      <c r="NP56" s="15"/>
      <c r="NQ56" s="15"/>
      <c r="NR56" s="15"/>
      <c r="NS56" s="15"/>
      <c r="NT56" s="15"/>
      <c r="NU56" s="61">
        <f t="shared" si="126"/>
        <v>0.5</v>
      </c>
      <c r="NV56" s="66">
        <f t="shared" si="190"/>
        <v>0</v>
      </c>
      <c r="NW56" s="12">
        <f t="shared" si="209"/>
        <v>0</v>
      </c>
      <c r="NX56" s="12">
        <f t="shared" si="210"/>
        <v>0</v>
      </c>
      <c r="NY56" s="12">
        <f t="shared" si="211"/>
        <v>0</v>
      </c>
      <c r="NZ56" s="16">
        <f t="shared" si="212"/>
        <v>0</v>
      </c>
      <c r="OA56" s="59">
        <f t="shared" si="131"/>
        <v>30000</v>
      </c>
      <c r="OB56" s="131">
        <v>30000</v>
      </c>
      <c r="OC56" s="133">
        <v>0.5</v>
      </c>
      <c r="OD56" s="15"/>
      <c r="OE56" s="15"/>
      <c r="OF56" s="15"/>
      <c r="OG56" s="15"/>
      <c r="OH56" s="15"/>
      <c r="OI56" s="61">
        <f t="shared" si="163"/>
        <v>0.5</v>
      </c>
      <c r="OJ56" s="66">
        <f t="shared" si="132"/>
        <v>0</v>
      </c>
      <c r="OK56" s="12">
        <f t="shared" si="133"/>
        <v>0</v>
      </c>
      <c r="OL56" s="12">
        <f t="shared" si="134"/>
        <v>0</v>
      </c>
      <c r="OM56" s="12">
        <f t="shared" si="135"/>
        <v>0</v>
      </c>
      <c r="ON56" s="16">
        <f t="shared" si="136"/>
        <v>0</v>
      </c>
      <c r="OO56" s="59">
        <f t="shared" si="137"/>
        <v>30000</v>
      </c>
      <c r="OP56" s="131">
        <v>30000</v>
      </c>
      <c r="OQ56" s="133">
        <v>0.5</v>
      </c>
      <c r="OR56" s="15"/>
      <c r="OS56" s="15"/>
      <c r="OT56" s="15"/>
      <c r="OU56" s="15"/>
      <c r="OV56" s="15"/>
      <c r="OW56" s="61">
        <f t="shared" si="138"/>
        <v>0.5</v>
      </c>
      <c r="OX56" s="66">
        <f t="shared" si="139"/>
        <v>0</v>
      </c>
      <c r="OY56" s="12">
        <f t="shared" si="140"/>
        <v>0</v>
      </c>
      <c r="OZ56" s="12">
        <f t="shared" si="141"/>
        <v>0</v>
      </c>
      <c r="PA56" s="12">
        <f t="shared" si="142"/>
        <v>0</v>
      </c>
      <c r="PB56" s="16">
        <f t="shared" si="143"/>
        <v>0</v>
      </c>
      <c r="PC56" s="59">
        <f t="shared" si="144"/>
        <v>30000</v>
      </c>
      <c r="PD56" s="131">
        <v>30000</v>
      </c>
      <c r="PE56" s="133">
        <v>0.5</v>
      </c>
      <c r="PF56" s="15"/>
      <c r="PG56" s="15"/>
      <c r="PH56" s="15"/>
      <c r="PI56" s="15"/>
      <c r="PJ56" s="15"/>
      <c r="PK56" s="61">
        <f t="shared" si="145"/>
        <v>0.5</v>
      </c>
      <c r="PL56" s="66">
        <f t="shared" si="174"/>
        <v>0</v>
      </c>
      <c r="PM56" s="12">
        <f t="shared" si="175"/>
        <v>0</v>
      </c>
      <c r="PN56" s="12">
        <f t="shared" si="176"/>
        <v>0</v>
      </c>
      <c r="PO56" s="12">
        <f t="shared" si="177"/>
        <v>0</v>
      </c>
      <c r="PP56" s="16">
        <f t="shared" si="178"/>
        <v>0</v>
      </c>
      <c r="PQ56" s="59">
        <f t="shared" si="150"/>
        <v>30000</v>
      </c>
      <c r="PS56" s="885">
        <f t="shared" si="151"/>
        <v>1.25</v>
      </c>
    </row>
    <row r="57" spans="2:435" x14ac:dyDescent="0.2">
      <c r="B57" s="24">
        <v>45</v>
      </c>
      <c r="C57" s="25" t="s">
        <v>19</v>
      </c>
      <c r="D57" s="26">
        <v>25000</v>
      </c>
      <c r="E57" s="42">
        <v>1</v>
      </c>
      <c r="F57" s="31">
        <v>1</v>
      </c>
      <c r="G57" s="12"/>
      <c r="H57" s="12"/>
      <c r="I57" s="12"/>
      <c r="J57" s="12"/>
      <c r="K57" s="12"/>
      <c r="L57" s="15"/>
      <c r="M57" s="61">
        <f t="shared" si="41"/>
        <v>0</v>
      </c>
      <c r="N57" s="31">
        <f t="shared" si="292"/>
        <v>25000</v>
      </c>
      <c r="O57" s="12">
        <f t="shared" si="292"/>
        <v>0</v>
      </c>
      <c r="P57" s="12">
        <f t="shared" si="292"/>
        <v>0</v>
      </c>
      <c r="Q57" s="12">
        <f t="shared" si="292"/>
        <v>0</v>
      </c>
      <c r="R57" s="12">
        <f t="shared" si="292"/>
        <v>0</v>
      </c>
      <c r="S57" s="12">
        <f t="shared" si="292"/>
        <v>0</v>
      </c>
      <c r="T57" s="15">
        <f t="shared" si="292"/>
        <v>0</v>
      </c>
      <c r="U57" s="59">
        <f t="shared" si="191"/>
        <v>0</v>
      </c>
      <c r="V57" s="26">
        <v>25000</v>
      </c>
      <c r="W57" s="42">
        <v>1</v>
      </c>
      <c r="X57" s="31">
        <v>1</v>
      </c>
      <c r="Y57" s="12"/>
      <c r="Z57" s="12"/>
      <c r="AA57" s="12"/>
      <c r="AB57" s="12"/>
      <c r="AC57" s="12"/>
      <c r="AD57" s="15"/>
      <c r="AE57" s="15"/>
      <c r="AF57" s="61">
        <f t="shared" si="42"/>
        <v>0</v>
      </c>
      <c r="AG57" s="35">
        <f t="shared" si="43"/>
        <v>25000</v>
      </c>
      <c r="AH57" s="35">
        <f t="shared" si="43"/>
        <v>0</v>
      </c>
      <c r="AI57" s="35">
        <f t="shared" si="43"/>
        <v>0</v>
      </c>
      <c r="AJ57" s="35">
        <f t="shared" si="43"/>
        <v>0</v>
      </c>
      <c r="AK57" s="35">
        <f t="shared" si="43"/>
        <v>0</v>
      </c>
      <c r="AL57" s="35">
        <f t="shared" si="43"/>
        <v>0</v>
      </c>
      <c r="AM57" s="35">
        <f t="shared" si="43"/>
        <v>0</v>
      </c>
      <c r="AN57" s="35">
        <f t="shared" si="43"/>
        <v>0</v>
      </c>
      <c r="AO57" s="62">
        <f t="shared" si="44"/>
        <v>0</v>
      </c>
      <c r="AP57" s="26">
        <v>25000</v>
      </c>
      <c r="AQ57" s="42">
        <v>1</v>
      </c>
      <c r="AR57" s="12"/>
      <c r="AS57" s="12"/>
      <c r="AT57" s="12"/>
      <c r="AU57" s="12">
        <v>0.4</v>
      </c>
      <c r="AV57" s="15">
        <v>0.6</v>
      </c>
      <c r="AW57" s="15"/>
      <c r="AX57" s="61">
        <f t="shared" si="45"/>
        <v>0</v>
      </c>
      <c r="AY57" s="35">
        <f t="shared" si="273"/>
        <v>0</v>
      </c>
      <c r="AZ57" s="35">
        <f t="shared" si="273"/>
        <v>0</v>
      </c>
      <c r="BA57" s="35">
        <f t="shared" si="273"/>
        <v>0</v>
      </c>
      <c r="BB57" s="35">
        <f t="shared" si="273"/>
        <v>10000</v>
      </c>
      <c r="BC57" s="35">
        <f t="shared" si="273"/>
        <v>15000</v>
      </c>
      <c r="BD57" s="34">
        <f t="shared" si="273"/>
        <v>0</v>
      </c>
      <c r="BE57" s="59">
        <f t="shared" si="46"/>
        <v>0</v>
      </c>
      <c r="BF57" s="26">
        <v>25000</v>
      </c>
      <c r="BG57" s="42">
        <v>1</v>
      </c>
      <c r="BH57" s="12"/>
      <c r="BI57" s="12"/>
      <c r="BJ57" s="12">
        <v>0.6</v>
      </c>
      <c r="BK57" s="12">
        <v>0.4</v>
      </c>
      <c r="BL57" s="15"/>
      <c r="BM57" s="15"/>
      <c r="BN57" s="15"/>
      <c r="BO57" s="61">
        <f t="shared" si="3"/>
        <v>0</v>
      </c>
      <c r="BP57" s="65">
        <f t="shared" si="274"/>
        <v>0</v>
      </c>
      <c r="BQ57" s="33">
        <f t="shared" si="274"/>
        <v>0</v>
      </c>
      <c r="BR57" s="33">
        <f t="shared" si="274"/>
        <v>15000</v>
      </c>
      <c r="BS57" s="33">
        <f t="shared" si="274"/>
        <v>10000</v>
      </c>
      <c r="BT57" s="33">
        <f t="shared" si="274"/>
        <v>0</v>
      </c>
      <c r="BU57" s="33">
        <f t="shared" si="274"/>
        <v>0</v>
      </c>
      <c r="BV57" s="34">
        <f t="shared" si="274"/>
        <v>0</v>
      </c>
      <c r="BW57" s="59">
        <f t="shared" si="192"/>
        <v>0</v>
      </c>
      <c r="BX57" s="26">
        <v>25000</v>
      </c>
      <c r="BY57" s="68">
        <v>1</v>
      </c>
      <c r="BZ57" s="31">
        <v>0.5</v>
      </c>
      <c r="CA57" s="12"/>
      <c r="CB57" s="12">
        <v>0.5</v>
      </c>
      <c r="CC57" s="12"/>
      <c r="CD57" s="15"/>
      <c r="CE57" s="15"/>
      <c r="CF57" s="15"/>
      <c r="CG57" s="61">
        <f t="shared" si="5"/>
        <v>0</v>
      </c>
      <c r="CH57" s="66">
        <f t="shared" si="47"/>
        <v>12500</v>
      </c>
      <c r="CI57" s="12">
        <f t="shared" si="47"/>
        <v>0</v>
      </c>
      <c r="CJ57" s="12">
        <f t="shared" si="47"/>
        <v>12500</v>
      </c>
      <c r="CK57" s="12">
        <f t="shared" si="47"/>
        <v>0</v>
      </c>
      <c r="CL57" s="12">
        <f t="shared" si="47"/>
        <v>0</v>
      </c>
      <c r="CM57" s="12">
        <f t="shared" si="47"/>
        <v>0</v>
      </c>
      <c r="CN57" s="16">
        <f t="shared" si="47"/>
        <v>0</v>
      </c>
      <c r="CO57" s="59">
        <f t="shared" si="193"/>
        <v>0</v>
      </c>
      <c r="CP57" s="26">
        <v>25000</v>
      </c>
      <c r="CQ57" s="68">
        <v>1</v>
      </c>
      <c r="CR57" s="12"/>
      <c r="CS57" s="12"/>
      <c r="CT57" s="12"/>
      <c r="CU57" s="12"/>
      <c r="CV57" s="15"/>
      <c r="CW57" s="15"/>
      <c r="CX57" s="15">
        <v>1</v>
      </c>
      <c r="CY57" s="61">
        <f t="shared" si="7"/>
        <v>0</v>
      </c>
      <c r="CZ57" s="66">
        <f t="shared" si="194"/>
        <v>0</v>
      </c>
      <c r="DA57" s="12">
        <f t="shared" si="194"/>
        <v>0</v>
      </c>
      <c r="DB57" s="12">
        <f t="shared" si="194"/>
        <v>0</v>
      </c>
      <c r="DC57" s="12">
        <f t="shared" si="194"/>
        <v>0</v>
      </c>
      <c r="DD57" s="12">
        <f t="shared" si="194"/>
        <v>0</v>
      </c>
      <c r="DE57" s="12">
        <f t="shared" si="194"/>
        <v>0</v>
      </c>
      <c r="DF57" s="16">
        <f t="shared" si="194"/>
        <v>25000</v>
      </c>
      <c r="DG57" s="59">
        <f t="shared" si="195"/>
        <v>0</v>
      </c>
      <c r="DH57" s="26">
        <v>25000</v>
      </c>
      <c r="DI57" s="68">
        <v>1</v>
      </c>
      <c r="DJ57" s="12"/>
      <c r="DK57" s="12"/>
      <c r="DL57" s="12"/>
      <c r="DM57" s="12"/>
      <c r="DN57" s="15"/>
      <c r="DO57" s="15"/>
      <c r="DP57" s="15">
        <v>1</v>
      </c>
      <c r="DQ57" s="61">
        <f t="shared" si="9"/>
        <v>0</v>
      </c>
      <c r="DR57" s="66">
        <f t="shared" si="48"/>
        <v>0</v>
      </c>
      <c r="DS57" s="12">
        <f t="shared" si="48"/>
        <v>0</v>
      </c>
      <c r="DT57" s="12">
        <f t="shared" si="48"/>
        <v>0</v>
      </c>
      <c r="DU57" s="12">
        <f t="shared" si="48"/>
        <v>0</v>
      </c>
      <c r="DV57" s="12">
        <f t="shared" si="48"/>
        <v>0</v>
      </c>
      <c r="DW57" s="12">
        <f t="shared" si="48"/>
        <v>0</v>
      </c>
      <c r="DX57" s="16">
        <f t="shared" si="48"/>
        <v>25000</v>
      </c>
      <c r="DY57" s="59">
        <f t="shared" si="196"/>
        <v>0</v>
      </c>
      <c r="DZ57" s="26">
        <v>25000</v>
      </c>
      <c r="EA57" s="68">
        <v>1</v>
      </c>
      <c r="EB57" s="12"/>
      <c r="EC57" s="12"/>
      <c r="ED57" s="12"/>
      <c r="EE57" s="15"/>
      <c r="EF57" s="15">
        <v>1</v>
      </c>
      <c r="EG57" s="15"/>
      <c r="EH57" s="61">
        <f t="shared" si="197"/>
        <v>0</v>
      </c>
      <c r="EI57" s="66">
        <f t="shared" si="275"/>
        <v>0</v>
      </c>
      <c r="EJ57" s="12">
        <f t="shared" si="275"/>
        <v>0</v>
      </c>
      <c r="EK57" s="12">
        <f t="shared" si="275"/>
        <v>0</v>
      </c>
      <c r="EL57" s="12">
        <f t="shared" si="275"/>
        <v>0</v>
      </c>
      <c r="EM57" s="12">
        <f t="shared" si="275"/>
        <v>25000</v>
      </c>
      <c r="EN57" s="16">
        <f t="shared" si="275"/>
        <v>0</v>
      </c>
      <c r="EO57" s="59">
        <f t="shared" si="198"/>
        <v>0</v>
      </c>
      <c r="EP57" s="26">
        <v>25000</v>
      </c>
      <c r="EQ57" s="68">
        <v>1</v>
      </c>
      <c r="ER57" s="12"/>
      <c r="ES57" s="12"/>
      <c r="ET57" s="15">
        <v>1</v>
      </c>
      <c r="EU57" s="15"/>
      <c r="EV57" s="61">
        <f t="shared" si="199"/>
        <v>0</v>
      </c>
      <c r="EW57" s="66">
        <f t="shared" si="49"/>
        <v>0</v>
      </c>
      <c r="EX57" s="12">
        <f t="shared" si="49"/>
        <v>0</v>
      </c>
      <c r="EY57" s="12">
        <f t="shared" si="49"/>
        <v>25000</v>
      </c>
      <c r="EZ57" s="16">
        <f t="shared" si="49"/>
        <v>0</v>
      </c>
      <c r="FA57" s="59">
        <f t="shared" si="200"/>
        <v>0</v>
      </c>
      <c r="FB57" s="26">
        <v>25000</v>
      </c>
      <c r="FC57" s="68">
        <v>1</v>
      </c>
      <c r="FD57" s="12"/>
      <c r="FE57" s="15">
        <v>0.5</v>
      </c>
      <c r="FF57" s="15">
        <v>0.5</v>
      </c>
      <c r="FG57" s="61">
        <f t="shared" si="201"/>
        <v>0</v>
      </c>
      <c r="FH57" s="66">
        <f t="shared" si="50"/>
        <v>0</v>
      </c>
      <c r="FI57" s="12">
        <f t="shared" si="50"/>
        <v>12500</v>
      </c>
      <c r="FJ57" s="16">
        <f t="shared" si="50"/>
        <v>12500</v>
      </c>
      <c r="FK57" s="59">
        <f t="shared" si="202"/>
        <v>0</v>
      </c>
      <c r="FL57" s="26">
        <v>25000</v>
      </c>
      <c r="FM57" s="68">
        <v>1</v>
      </c>
      <c r="FN57" s="12"/>
      <c r="FO57" s="15">
        <v>0.5</v>
      </c>
      <c r="FP57" s="15">
        <v>0.5</v>
      </c>
      <c r="FQ57" s="15"/>
      <c r="FR57" s="15"/>
      <c r="FS57" s="61">
        <f t="shared" si="203"/>
        <v>0</v>
      </c>
      <c r="FT57" s="66">
        <f t="shared" si="296"/>
        <v>0</v>
      </c>
      <c r="FU57" s="12">
        <f t="shared" si="297"/>
        <v>12500</v>
      </c>
      <c r="FV57" s="12">
        <f t="shared" si="206"/>
        <v>12500</v>
      </c>
      <c r="FW57" s="12">
        <f t="shared" si="207"/>
        <v>0</v>
      </c>
      <c r="FX57" s="16">
        <f t="shared" si="51"/>
        <v>0</v>
      </c>
      <c r="FY57" s="59">
        <f t="shared" si="52"/>
        <v>0</v>
      </c>
      <c r="FZ57" s="26">
        <v>25000</v>
      </c>
      <c r="GA57" s="68">
        <v>1</v>
      </c>
      <c r="GB57" s="12">
        <v>1</v>
      </c>
      <c r="GC57" s="15"/>
      <c r="GD57" s="15"/>
      <c r="GE57" s="15"/>
      <c r="GF57" s="61">
        <f t="shared" si="208"/>
        <v>0</v>
      </c>
      <c r="GG57" s="66">
        <f t="shared" si="53"/>
        <v>25000</v>
      </c>
      <c r="GH57" s="66">
        <f>IF($GA57&lt;&gt;0,GB57*$FZ57/$GA57,0)</f>
        <v>25000</v>
      </c>
      <c r="GI57" s="12">
        <f t="shared" si="289"/>
        <v>0</v>
      </c>
      <c r="GJ57" s="12">
        <f t="shared" si="179"/>
        <v>0</v>
      </c>
      <c r="GK57" s="31">
        <f t="shared" si="290"/>
        <v>0</v>
      </c>
      <c r="GL57" s="123">
        <f t="shared" si="291"/>
        <v>0</v>
      </c>
      <c r="GM57" s="410">
        <f t="shared" si="16"/>
        <v>0</v>
      </c>
      <c r="GN57" s="414">
        <v>25000</v>
      </c>
      <c r="GO57" s="68">
        <v>1</v>
      </c>
      <c r="GP57" s="12"/>
      <c r="GQ57" s="15">
        <v>1</v>
      </c>
      <c r="GR57" s="15"/>
      <c r="GS57" s="15"/>
      <c r="GT57" s="15"/>
      <c r="GU57" s="61">
        <f t="shared" si="54"/>
        <v>0</v>
      </c>
      <c r="GV57" s="66">
        <f t="shared" si="17"/>
        <v>0</v>
      </c>
      <c r="GW57" s="12">
        <f t="shared" si="18"/>
        <v>25000</v>
      </c>
      <c r="GX57" s="12">
        <f t="shared" si="19"/>
        <v>0</v>
      </c>
      <c r="GY57" s="12">
        <f t="shared" si="20"/>
        <v>0</v>
      </c>
      <c r="GZ57" s="16">
        <f t="shared" si="21"/>
        <v>0</v>
      </c>
      <c r="HA57" s="59">
        <f t="shared" si="55"/>
        <v>0</v>
      </c>
      <c r="HB57" s="26">
        <v>30000</v>
      </c>
      <c r="HC57" s="68">
        <v>1</v>
      </c>
      <c r="HD57" s="12"/>
      <c r="HE57" s="15">
        <v>1</v>
      </c>
      <c r="HF57" s="15"/>
      <c r="HG57" s="15"/>
      <c r="HH57" s="15"/>
      <c r="HI57" s="15"/>
      <c r="HJ57" s="15"/>
      <c r="HK57" s="15"/>
      <c r="HL57" s="61">
        <f t="shared" si="56"/>
        <v>0</v>
      </c>
      <c r="HM57" s="66">
        <f t="shared" si="22"/>
        <v>0</v>
      </c>
      <c r="HN57" s="12">
        <f t="shared" si="23"/>
        <v>30000</v>
      </c>
      <c r="HO57" s="12">
        <f t="shared" si="24"/>
        <v>0</v>
      </c>
      <c r="HP57" s="12">
        <f t="shared" si="25"/>
        <v>0</v>
      </c>
      <c r="HQ57" s="12">
        <f t="shared" si="26"/>
        <v>0</v>
      </c>
      <c r="HR57" s="12">
        <f t="shared" si="27"/>
        <v>0</v>
      </c>
      <c r="HS57" s="12">
        <f t="shared" si="28"/>
        <v>0</v>
      </c>
      <c r="HT57" s="16">
        <f t="shared" si="29"/>
        <v>0</v>
      </c>
      <c r="HU57" s="59">
        <f t="shared" si="57"/>
        <v>0</v>
      </c>
      <c r="HV57" s="26">
        <v>25000</v>
      </c>
      <c r="HW57" s="68">
        <v>1</v>
      </c>
      <c r="HX57" s="12"/>
      <c r="HY57" s="15"/>
      <c r="HZ57" s="61">
        <f t="shared" si="58"/>
        <v>1</v>
      </c>
      <c r="IA57" s="66">
        <f t="shared" si="59"/>
        <v>0</v>
      </c>
      <c r="IB57" s="16">
        <f t="shared" si="59"/>
        <v>0</v>
      </c>
      <c r="IC57" s="59">
        <f t="shared" si="60"/>
        <v>25000</v>
      </c>
      <c r="ID57" s="129">
        <f>1428.57+24272.08</f>
        <v>25700.65</v>
      </c>
      <c r="IE57" s="68">
        <v>1</v>
      </c>
      <c r="IF57" s="12"/>
      <c r="IG57" s="15">
        <v>1</v>
      </c>
      <c r="IH57" s="15"/>
      <c r="II57" s="15"/>
      <c r="IJ57" s="15"/>
      <c r="IK57" s="15"/>
      <c r="IL57" s="15"/>
      <c r="IM57" s="15"/>
      <c r="IN57" s="15"/>
      <c r="IO57" s="61">
        <f t="shared" si="61"/>
        <v>0</v>
      </c>
      <c r="IP57" s="66">
        <f t="shared" si="62"/>
        <v>0</v>
      </c>
      <c r="IQ57" s="12">
        <f t="shared" si="63"/>
        <v>25700.65</v>
      </c>
      <c r="IR57" s="12">
        <f t="shared" si="64"/>
        <v>0</v>
      </c>
      <c r="IS57" s="12">
        <f t="shared" si="65"/>
        <v>0</v>
      </c>
      <c r="IT57" s="12">
        <f t="shared" si="66"/>
        <v>0</v>
      </c>
      <c r="IU57" s="12">
        <f t="shared" si="67"/>
        <v>0</v>
      </c>
      <c r="IV57" s="12">
        <f t="shared" si="68"/>
        <v>0</v>
      </c>
      <c r="IW57" s="15">
        <f t="shared" si="69"/>
        <v>0</v>
      </c>
      <c r="IX57" s="16">
        <f t="shared" si="69"/>
        <v>0</v>
      </c>
      <c r="IY57" s="59">
        <f t="shared" si="70"/>
        <v>0</v>
      </c>
      <c r="IZ57" s="129">
        <v>30000</v>
      </c>
      <c r="JA57" s="68">
        <v>1</v>
      </c>
      <c r="JB57" s="12"/>
      <c r="JC57" s="15">
        <v>1</v>
      </c>
      <c r="JD57" s="15"/>
      <c r="JE57" s="15"/>
      <c r="JF57" s="15"/>
      <c r="JG57" s="15"/>
      <c r="JH57" s="15"/>
      <c r="JI57" s="15"/>
      <c r="JJ57" s="15"/>
      <c r="JK57" s="61">
        <f t="shared" si="295"/>
        <v>0</v>
      </c>
      <c r="JL57" s="66">
        <f t="shared" si="72"/>
        <v>0</v>
      </c>
      <c r="JM57" s="12">
        <f t="shared" si="276"/>
        <v>30000</v>
      </c>
      <c r="JN57" s="12">
        <f t="shared" si="277"/>
        <v>0</v>
      </c>
      <c r="JO57" s="12">
        <f t="shared" si="278"/>
        <v>0</v>
      </c>
      <c r="JP57" s="12">
        <f t="shared" si="279"/>
        <v>0</v>
      </c>
      <c r="JQ57" s="12">
        <f t="shared" si="280"/>
        <v>0</v>
      </c>
      <c r="JR57" s="12">
        <f t="shared" si="281"/>
        <v>0</v>
      </c>
      <c r="JS57" s="12">
        <f t="shared" si="282"/>
        <v>0</v>
      </c>
      <c r="JT57" s="16">
        <f t="shared" si="283"/>
        <v>0</v>
      </c>
      <c r="JU57" s="59">
        <f t="shared" si="81"/>
        <v>0</v>
      </c>
      <c r="JV57" s="129">
        <v>30000</v>
      </c>
      <c r="JW57" s="68">
        <v>1</v>
      </c>
      <c r="JX57" s="12"/>
      <c r="JY57" s="12"/>
      <c r="JZ57" s="15">
        <v>1</v>
      </c>
      <c r="KA57" s="15"/>
      <c r="KB57" s="15"/>
      <c r="KC57" s="15"/>
      <c r="KD57" s="15"/>
      <c r="KE57" s="15"/>
      <c r="KF57" s="15"/>
      <c r="KG57" s="61">
        <f t="shared" si="82"/>
        <v>0</v>
      </c>
      <c r="KH57" s="146">
        <f t="shared" si="83"/>
        <v>0</v>
      </c>
      <c r="KI57" s="12">
        <f t="shared" si="83"/>
        <v>0</v>
      </c>
      <c r="KJ57" s="12">
        <f t="shared" si="84"/>
        <v>30000</v>
      </c>
      <c r="KK57" s="12">
        <f t="shared" si="85"/>
        <v>0</v>
      </c>
      <c r="KL57" s="12">
        <f t="shared" si="86"/>
        <v>0</v>
      </c>
      <c r="KM57" s="12">
        <f t="shared" si="87"/>
        <v>0</v>
      </c>
      <c r="KN57" s="12">
        <f t="shared" si="88"/>
        <v>0</v>
      </c>
      <c r="KO57" s="12">
        <f t="shared" si="89"/>
        <v>0</v>
      </c>
      <c r="KP57" s="16">
        <f t="shared" si="90"/>
        <v>0</v>
      </c>
      <c r="KQ57" s="59">
        <f t="shared" si="91"/>
        <v>0</v>
      </c>
      <c r="KR57" s="129">
        <v>30000</v>
      </c>
      <c r="KS57" s="68">
        <v>1</v>
      </c>
      <c r="KT57" s="12"/>
      <c r="KU57" s="15">
        <v>1</v>
      </c>
      <c r="KV57" s="15"/>
      <c r="KW57" s="15"/>
      <c r="KX57" s="15"/>
      <c r="KY57" s="15"/>
      <c r="KZ57" s="15"/>
      <c r="LA57" s="15"/>
      <c r="LB57" s="61">
        <f t="shared" si="92"/>
        <v>0</v>
      </c>
      <c r="LC57" s="66">
        <f t="shared" si="93"/>
        <v>0</v>
      </c>
      <c r="LD57" s="12">
        <f t="shared" si="94"/>
        <v>30000</v>
      </c>
      <c r="LE57" s="12">
        <f t="shared" si="95"/>
        <v>0</v>
      </c>
      <c r="LF57" s="12">
        <f t="shared" si="96"/>
        <v>0</v>
      </c>
      <c r="LG57" s="12">
        <f t="shared" si="97"/>
        <v>0</v>
      </c>
      <c r="LH57" s="12">
        <f t="shared" si="98"/>
        <v>0</v>
      </c>
      <c r="LI57" s="12">
        <f t="shared" si="99"/>
        <v>0</v>
      </c>
      <c r="LJ57" s="16">
        <f t="shared" si="100"/>
        <v>0</v>
      </c>
      <c r="LK57" s="59">
        <f t="shared" si="101"/>
        <v>0</v>
      </c>
      <c r="LL57" s="129">
        <v>30000</v>
      </c>
      <c r="LM57" s="68">
        <v>1</v>
      </c>
      <c r="LN57" s="15">
        <v>1</v>
      </c>
      <c r="LO57" s="15"/>
      <c r="LP57" s="15"/>
      <c r="LQ57" s="15"/>
      <c r="LR57" s="15"/>
      <c r="LS57" s="15"/>
      <c r="LT57" s="15"/>
      <c r="LU57" s="61">
        <f t="shared" si="102"/>
        <v>0</v>
      </c>
      <c r="LV57" s="66">
        <f t="shared" si="103"/>
        <v>30000</v>
      </c>
      <c r="LW57" s="12">
        <f t="shared" si="104"/>
        <v>0</v>
      </c>
      <c r="LX57" s="12">
        <f t="shared" si="105"/>
        <v>0</v>
      </c>
      <c r="LY57" s="12">
        <f t="shared" si="106"/>
        <v>0</v>
      </c>
      <c r="LZ57" s="12">
        <f t="shared" si="107"/>
        <v>0</v>
      </c>
      <c r="MA57" s="12">
        <f t="shared" si="108"/>
        <v>0</v>
      </c>
      <c r="MB57" s="16">
        <f t="shared" si="109"/>
        <v>0</v>
      </c>
      <c r="MC57" s="59">
        <f t="shared" si="110"/>
        <v>0</v>
      </c>
      <c r="MD57" s="129">
        <v>30000</v>
      </c>
      <c r="ME57" s="68">
        <v>1</v>
      </c>
      <c r="MF57" s="15">
        <v>0.5</v>
      </c>
      <c r="MG57" s="15"/>
      <c r="MH57" s="15">
        <v>0.5</v>
      </c>
      <c r="MI57" s="15"/>
      <c r="MJ57" s="15"/>
      <c r="MK57" s="15"/>
      <c r="ML57" s="15"/>
      <c r="MM57" s="61">
        <f t="shared" si="111"/>
        <v>0</v>
      </c>
      <c r="MN57" s="66">
        <f t="shared" si="112"/>
        <v>15000</v>
      </c>
      <c r="MO57" s="12">
        <f t="shared" si="113"/>
        <v>0</v>
      </c>
      <c r="MP57" s="12">
        <f t="shared" si="114"/>
        <v>15000</v>
      </c>
      <c r="MQ57" s="12">
        <f t="shared" si="115"/>
        <v>0</v>
      </c>
      <c r="MR57" s="12">
        <f t="shared" si="116"/>
        <v>0</v>
      </c>
      <c r="MS57" s="12">
        <f t="shared" si="116"/>
        <v>0</v>
      </c>
      <c r="MT57" s="16">
        <f t="shared" si="117"/>
        <v>0</v>
      </c>
      <c r="MU57" s="59">
        <f t="shared" si="189"/>
        <v>0</v>
      </c>
      <c r="MV57" s="617">
        <v>30000</v>
      </c>
      <c r="MW57" s="619">
        <v>1</v>
      </c>
      <c r="MX57" s="15"/>
      <c r="MY57" s="15"/>
      <c r="MZ57" s="15">
        <v>1</v>
      </c>
      <c r="NA57" s="15"/>
      <c r="NB57" s="15"/>
      <c r="NC57" s="15"/>
      <c r="ND57" s="15"/>
      <c r="NE57" s="61">
        <f t="shared" si="118"/>
        <v>0</v>
      </c>
      <c r="NF57" s="66">
        <f t="shared" si="119"/>
        <v>0</v>
      </c>
      <c r="NG57" s="12">
        <f t="shared" si="120"/>
        <v>0</v>
      </c>
      <c r="NH57" s="12">
        <f t="shared" si="121"/>
        <v>30000</v>
      </c>
      <c r="NI57" s="12">
        <f t="shared" si="122"/>
        <v>0</v>
      </c>
      <c r="NJ57" s="12">
        <f t="shared" si="123"/>
        <v>0</v>
      </c>
      <c r="NK57" s="12">
        <f t="shared" si="123"/>
        <v>0</v>
      </c>
      <c r="NL57" s="16">
        <f t="shared" si="124"/>
        <v>0</v>
      </c>
      <c r="NM57" s="59">
        <f t="shared" si="125"/>
        <v>0</v>
      </c>
      <c r="NN57" s="617">
        <v>30000</v>
      </c>
      <c r="NO57" s="619">
        <v>1</v>
      </c>
      <c r="NP57" s="15"/>
      <c r="NQ57" s="15"/>
      <c r="NR57" s="15"/>
      <c r="NS57" s="15"/>
      <c r="NT57" s="15"/>
      <c r="NU57" s="61">
        <f t="shared" si="126"/>
        <v>1</v>
      </c>
      <c r="NV57" s="66">
        <f t="shared" si="190"/>
        <v>0</v>
      </c>
      <c r="NW57" s="12">
        <f t="shared" si="209"/>
        <v>0</v>
      </c>
      <c r="NX57" s="12">
        <f t="shared" si="210"/>
        <v>0</v>
      </c>
      <c r="NY57" s="12">
        <f t="shared" si="211"/>
        <v>0</v>
      </c>
      <c r="NZ57" s="16">
        <f t="shared" si="212"/>
        <v>0</v>
      </c>
      <c r="OA57" s="59">
        <f t="shared" si="131"/>
        <v>30000</v>
      </c>
      <c r="OB57" s="131">
        <v>30000</v>
      </c>
      <c r="OC57" s="133">
        <v>1</v>
      </c>
      <c r="OD57" s="15"/>
      <c r="OE57" s="15"/>
      <c r="OF57" s="15"/>
      <c r="OG57" s="15"/>
      <c r="OH57" s="15"/>
      <c r="OI57" s="61">
        <f t="shared" si="163"/>
        <v>1</v>
      </c>
      <c r="OJ57" s="66">
        <f t="shared" si="132"/>
        <v>0</v>
      </c>
      <c r="OK57" s="12">
        <f t="shared" si="133"/>
        <v>0</v>
      </c>
      <c r="OL57" s="12">
        <f t="shared" si="134"/>
        <v>0</v>
      </c>
      <c r="OM57" s="12">
        <f t="shared" si="135"/>
        <v>0</v>
      </c>
      <c r="ON57" s="16">
        <f t="shared" si="136"/>
        <v>0</v>
      </c>
      <c r="OO57" s="59">
        <f t="shared" si="137"/>
        <v>30000</v>
      </c>
      <c r="OP57" s="131">
        <v>30000</v>
      </c>
      <c r="OQ57" s="133">
        <v>1</v>
      </c>
      <c r="OR57" s="15"/>
      <c r="OS57" s="15"/>
      <c r="OT57" s="15"/>
      <c r="OU57" s="15"/>
      <c r="OV57" s="15"/>
      <c r="OW57" s="61">
        <f t="shared" si="138"/>
        <v>1</v>
      </c>
      <c r="OX57" s="66">
        <f t="shared" si="139"/>
        <v>0</v>
      </c>
      <c r="OY57" s="12">
        <f t="shared" si="140"/>
        <v>0</v>
      </c>
      <c r="OZ57" s="12">
        <f t="shared" si="141"/>
        <v>0</v>
      </c>
      <c r="PA57" s="12">
        <f t="shared" si="142"/>
        <v>0</v>
      </c>
      <c r="PB57" s="16">
        <f t="shared" si="143"/>
        <v>0</v>
      </c>
      <c r="PC57" s="59">
        <f t="shared" si="144"/>
        <v>30000</v>
      </c>
      <c r="PD57" s="131">
        <v>30000</v>
      </c>
      <c r="PE57" s="133">
        <v>1</v>
      </c>
      <c r="PF57" s="15"/>
      <c r="PG57" s="15"/>
      <c r="PH57" s="15"/>
      <c r="PI57" s="15"/>
      <c r="PJ57" s="15"/>
      <c r="PK57" s="61">
        <f t="shared" si="145"/>
        <v>1</v>
      </c>
      <c r="PL57" s="66">
        <f t="shared" si="174"/>
        <v>0</v>
      </c>
      <c r="PM57" s="12">
        <f t="shared" si="175"/>
        <v>0</v>
      </c>
      <c r="PN57" s="12">
        <f t="shared" si="176"/>
        <v>0</v>
      </c>
      <c r="PO57" s="12">
        <f t="shared" si="177"/>
        <v>0</v>
      </c>
      <c r="PP57" s="16">
        <f t="shared" si="178"/>
        <v>0</v>
      </c>
      <c r="PQ57" s="59">
        <f t="shared" si="150"/>
        <v>30000</v>
      </c>
      <c r="PS57" s="884">
        <f t="shared" si="151"/>
        <v>0</v>
      </c>
    </row>
    <row r="58" spans="2:435" x14ac:dyDescent="0.2">
      <c r="B58" s="24">
        <v>46</v>
      </c>
      <c r="C58" s="25" t="s">
        <v>20</v>
      </c>
      <c r="D58" s="26">
        <v>27000</v>
      </c>
      <c r="E58" s="42">
        <v>1</v>
      </c>
      <c r="F58" s="31"/>
      <c r="G58" s="12">
        <v>1</v>
      </c>
      <c r="H58" s="12"/>
      <c r="I58" s="12"/>
      <c r="J58" s="12"/>
      <c r="K58" s="12"/>
      <c r="L58" s="15"/>
      <c r="M58" s="61">
        <f t="shared" si="41"/>
        <v>0</v>
      </c>
      <c r="N58" s="31">
        <f t="shared" si="292"/>
        <v>0</v>
      </c>
      <c r="O58" s="12">
        <f t="shared" si="292"/>
        <v>27000</v>
      </c>
      <c r="P58" s="12">
        <f t="shared" si="292"/>
        <v>0</v>
      </c>
      <c r="Q58" s="12">
        <f t="shared" si="292"/>
        <v>0</v>
      </c>
      <c r="R58" s="12">
        <f t="shared" si="292"/>
        <v>0</v>
      </c>
      <c r="S58" s="12">
        <f t="shared" si="292"/>
        <v>0</v>
      </c>
      <c r="T58" s="15">
        <f t="shared" si="292"/>
        <v>0</v>
      </c>
      <c r="U58" s="59">
        <f t="shared" si="191"/>
        <v>0</v>
      </c>
      <c r="V58" s="26">
        <v>18337.53</v>
      </c>
      <c r="W58" s="42">
        <v>0.68</v>
      </c>
      <c r="X58" s="31"/>
      <c r="Y58" s="12"/>
      <c r="Z58" s="12">
        <v>0.5</v>
      </c>
      <c r="AA58" s="12"/>
      <c r="AB58" s="12"/>
      <c r="AC58" s="12"/>
      <c r="AD58" s="15"/>
      <c r="AE58" s="15">
        <v>0.15</v>
      </c>
      <c r="AF58" s="61">
        <f t="shared" si="42"/>
        <v>0.03</v>
      </c>
      <c r="AG58" s="35">
        <f t="shared" si="43"/>
        <v>0</v>
      </c>
      <c r="AH58" s="35">
        <f t="shared" si="43"/>
        <v>0</v>
      </c>
      <c r="AI58" s="35">
        <f t="shared" si="43"/>
        <v>13483.48</v>
      </c>
      <c r="AJ58" s="35">
        <f t="shared" si="43"/>
        <v>0</v>
      </c>
      <c r="AK58" s="35">
        <f t="shared" si="43"/>
        <v>0</v>
      </c>
      <c r="AL58" s="35">
        <f t="shared" si="43"/>
        <v>0</v>
      </c>
      <c r="AM58" s="35">
        <f t="shared" si="43"/>
        <v>0</v>
      </c>
      <c r="AN58" s="35">
        <f t="shared" si="43"/>
        <v>4045.04</v>
      </c>
      <c r="AO58" s="62">
        <f t="shared" si="44"/>
        <v>809.01</v>
      </c>
      <c r="AP58" s="26">
        <v>27000</v>
      </c>
      <c r="AQ58" s="42">
        <v>1</v>
      </c>
      <c r="AR58" s="12">
        <v>1</v>
      </c>
      <c r="AS58" s="12"/>
      <c r="AT58" s="12"/>
      <c r="AU58" s="12"/>
      <c r="AV58" s="15"/>
      <c r="AW58" s="15"/>
      <c r="AX58" s="61">
        <f t="shared" si="45"/>
        <v>0</v>
      </c>
      <c r="AY58" s="35">
        <f t="shared" si="273"/>
        <v>27000</v>
      </c>
      <c r="AZ58" s="35">
        <f t="shared" si="273"/>
        <v>0</v>
      </c>
      <c r="BA58" s="35">
        <f t="shared" si="273"/>
        <v>0</v>
      </c>
      <c r="BB58" s="35">
        <f t="shared" si="273"/>
        <v>0</v>
      </c>
      <c r="BC58" s="35">
        <f t="shared" si="273"/>
        <v>0</v>
      </c>
      <c r="BD58" s="34">
        <f t="shared" si="273"/>
        <v>0</v>
      </c>
      <c r="BE58" s="59">
        <f t="shared" si="46"/>
        <v>0</v>
      </c>
      <c r="BF58" s="26">
        <v>27000</v>
      </c>
      <c r="BG58" s="42">
        <v>1</v>
      </c>
      <c r="BH58" s="12">
        <v>1</v>
      </c>
      <c r="BI58" s="12"/>
      <c r="BJ58" s="12"/>
      <c r="BK58" s="12"/>
      <c r="BL58" s="15"/>
      <c r="BM58" s="15"/>
      <c r="BN58" s="15"/>
      <c r="BO58" s="61">
        <f t="shared" si="3"/>
        <v>0</v>
      </c>
      <c r="BP58" s="65">
        <f>IF($BG58&lt;&gt;0,BH58*$BF58/$BG58,0)</f>
        <v>27000</v>
      </c>
      <c r="BQ58" s="33">
        <f t="shared" si="274"/>
        <v>0</v>
      </c>
      <c r="BR58" s="33">
        <f t="shared" si="274"/>
        <v>0</v>
      </c>
      <c r="BS58" s="33">
        <f t="shared" si="274"/>
        <v>0</v>
      </c>
      <c r="BT58" s="33">
        <f t="shared" si="274"/>
        <v>0</v>
      </c>
      <c r="BU58" s="33">
        <f t="shared" si="274"/>
        <v>0</v>
      </c>
      <c r="BV58" s="34">
        <f t="shared" si="274"/>
        <v>0</v>
      </c>
      <c r="BW58" s="59">
        <f t="shared" si="192"/>
        <v>0</v>
      </c>
      <c r="BX58" s="69">
        <v>26652.69</v>
      </c>
      <c r="BY58" s="68">
        <v>1</v>
      </c>
      <c r="BZ58" s="31"/>
      <c r="CA58" s="12"/>
      <c r="CB58" s="12">
        <v>1</v>
      </c>
      <c r="CC58" s="12"/>
      <c r="CD58" s="15"/>
      <c r="CE58" s="15"/>
      <c r="CF58" s="15"/>
      <c r="CG58" s="61">
        <f t="shared" si="5"/>
        <v>0</v>
      </c>
      <c r="CH58" s="66">
        <f t="shared" si="47"/>
        <v>0</v>
      </c>
      <c r="CI58" s="12">
        <f t="shared" si="47"/>
        <v>0</v>
      </c>
      <c r="CJ58" s="12">
        <f t="shared" si="47"/>
        <v>26652.69</v>
      </c>
      <c r="CK58" s="12">
        <f t="shared" si="47"/>
        <v>0</v>
      </c>
      <c r="CL58" s="12">
        <f t="shared" si="47"/>
        <v>0</v>
      </c>
      <c r="CM58" s="12">
        <f t="shared" si="47"/>
        <v>0</v>
      </c>
      <c r="CN58" s="16">
        <f t="shared" si="47"/>
        <v>0</v>
      </c>
      <c r="CO58" s="59">
        <f t="shared" si="193"/>
        <v>0</v>
      </c>
      <c r="CP58" s="69">
        <v>27000</v>
      </c>
      <c r="CQ58" s="68">
        <v>1</v>
      </c>
      <c r="CR58" s="12"/>
      <c r="CS58" s="12"/>
      <c r="CT58" s="12">
        <v>1</v>
      </c>
      <c r="CU58" s="12"/>
      <c r="CV58" s="15"/>
      <c r="CW58" s="15"/>
      <c r="CX58" s="15"/>
      <c r="CY58" s="61">
        <f t="shared" si="7"/>
        <v>0</v>
      </c>
      <c r="CZ58" s="66">
        <f t="shared" si="194"/>
        <v>0</v>
      </c>
      <c r="DA58" s="12">
        <f t="shared" si="194"/>
        <v>0</v>
      </c>
      <c r="DB58" s="12">
        <f t="shared" si="194"/>
        <v>27000</v>
      </c>
      <c r="DC58" s="12">
        <f t="shared" si="194"/>
        <v>0</v>
      </c>
      <c r="DD58" s="12">
        <f t="shared" si="194"/>
        <v>0</v>
      </c>
      <c r="DE58" s="12">
        <f t="shared" si="194"/>
        <v>0</v>
      </c>
      <c r="DF58" s="16">
        <f t="shared" si="194"/>
        <v>0</v>
      </c>
      <c r="DG58" s="59">
        <f t="shared" si="195"/>
        <v>0</v>
      </c>
      <c r="DH58" s="69">
        <v>27000</v>
      </c>
      <c r="DI58" s="68">
        <v>1</v>
      </c>
      <c r="DJ58" s="12"/>
      <c r="DK58" s="12"/>
      <c r="DL58" s="12">
        <v>1</v>
      </c>
      <c r="DM58" s="12"/>
      <c r="DN58" s="15"/>
      <c r="DO58" s="15"/>
      <c r="DP58" s="15"/>
      <c r="DQ58" s="61">
        <f t="shared" si="9"/>
        <v>0</v>
      </c>
      <c r="DR58" s="66">
        <f t="shared" si="48"/>
        <v>0</v>
      </c>
      <c r="DS58" s="12">
        <f t="shared" si="48"/>
        <v>0</v>
      </c>
      <c r="DT58" s="12">
        <f t="shared" si="48"/>
        <v>27000</v>
      </c>
      <c r="DU58" s="12">
        <f t="shared" si="48"/>
        <v>0</v>
      </c>
      <c r="DV58" s="12">
        <f t="shared" si="48"/>
        <v>0</v>
      </c>
      <c r="DW58" s="12">
        <f t="shared" si="48"/>
        <v>0</v>
      </c>
      <c r="DX58" s="16">
        <f t="shared" si="48"/>
        <v>0</v>
      </c>
      <c r="DY58" s="59">
        <f t="shared" si="196"/>
        <v>0</v>
      </c>
      <c r="DZ58" s="69">
        <v>27000</v>
      </c>
      <c r="EA58" s="68">
        <v>1</v>
      </c>
      <c r="EB58" s="12"/>
      <c r="EC58" s="12"/>
      <c r="ED58" s="12"/>
      <c r="EE58" s="15"/>
      <c r="EF58" s="15">
        <v>1</v>
      </c>
      <c r="EG58" s="15"/>
      <c r="EH58" s="61">
        <f t="shared" si="197"/>
        <v>0</v>
      </c>
      <c r="EI58" s="66">
        <f t="shared" si="275"/>
        <v>0</v>
      </c>
      <c r="EJ58" s="12">
        <f t="shared" si="275"/>
        <v>0</v>
      </c>
      <c r="EK58" s="12">
        <f t="shared" si="275"/>
        <v>0</v>
      </c>
      <c r="EL58" s="12">
        <f t="shared" si="275"/>
        <v>0</v>
      </c>
      <c r="EM58" s="12">
        <f t="shared" si="275"/>
        <v>27000</v>
      </c>
      <c r="EN58" s="16">
        <f t="shared" si="275"/>
        <v>0</v>
      </c>
      <c r="EO58" s="59">
        <f t="shared" si="198"/>
        <v>0</v>
      </c>
      <c r="EP58" s="69">
        <v>27000</v>
      </c>
      <c r="EQ58" s="68">
        <v>1</v>
      </c>
      <c r="ER58" s="12"/>
      <c r="ES58" s="12"/>
      <c r="ET58" s="15">
        <v>1</v>
      </c>
      <c r="EU58" s="15"/>
      <c r="EV58" s="61">
        <f t="shared" si="199"/>
        <v>0</v>
      </c>
      <c r="EW58" s="66">
        <f t="shared" si="49"/>
        <v>0</v>
      </c>
      <c r="EX58" s="12">
        <f t="shared" si="49"/>
        <v>0</v>
      </c>
      <c r="EY58" s="12">
        <f t="shared" si="49"/>
        <v>27000</v>
      </c>
      <c r="EZ58" s="16">
        <f t="shared" si="49"/>
        <v>0</v>
      </c>
      <c r="FA58" s="59">
        <f t="shared" si="200"/>
        <v>0</v>
      </c>
      <c r="FB58" s="69">
        <v>25714.29</v>
      </c>
      <c r="FC58" s="68">
        <f>30/31</f>
        <v>0.97</v>
      </c>
      <c r="FD58" s="12"/>
      <c r="FE58" s="15">
        <v>0.95</v>
      </c>
      <c r="FF58" s="15"/>
      <c r="FG58" s="61">
        <f t="shared" si="201"/>
        <v>0.02</v>
      </c>
      <c r="FH58" s="66">
        <f t="shared" si="50"/>
        <v>0</v>
      </c>
      <c r="FI58" s="12">
        <f t="shared" si="50"/>
        <v>25184.1</v>
      </c>
      <c r="FJ58" s="16">
        <f t="shared" si="50"/>
        <v>0</v>
      </c>
      <c r="FK58" s="59">
        <f t="shared" si="202"/>
        <v>530.19000000000005</v>
      </c>
      <c r="FL58" s="69">
        <f>23142.86+1713.18</f>
        <v>24856.04</v>
      </c>
      <c r="FM58" s="68">
        <f>26/30</f>
        <v>0.87</v>
      </c>
      <c r="FN58" s="12"/>
      <c r="FO58" s="15">
        <v>0.85</v>
      </c>
      <c r="FP58" s="15"/>
      <c r="FQ58" s="15"/>
      <c r="FR58" s="15"/>
      <c r="FS58" s="61">
        <f t="shared" si="203"/>
        <v>0.02</v>
      </c>
      <c r="FT58" s="66">
        <f t="shared" si="296"/>
        <v>0</v>
      </c>
      <c r="FU58" s="12">
        <f t="shared" si="297"/>
        <v>24284.639999999999</v>
      </c>
      <c r="FV58" s="12">
        <f t="shared" si="206"/>
        <v>0</v>
      </c>
      <c r="FW58" s="12">
        <f t="shared" si="207"/>
        <v>0</v>
      </c>
      <c r="FX58" s="16">
        <f t="shared" si="51"/>
        <v>0</v>
      </c>
      <c r="FY58" s="59">
        <f t="shared" si="52"/>
        <v>571.4</v>
      </c>
      <c r="FZ58" s="69">
        <v>27000</v>
      </c>
      <c r="GA58" s="68">
        <v>1</v>
      </c>
      <c r="GB58" s="12"/>
      <c r="GC58" s="15">
        <v>1</v>
      </c>
      <c r="GD58" s="15"/>
      <c r="GE58" s="15"/>
      <c r="GF58" s="61">
        <f t="shared" si="208"/>
        <v>0</v>
      </c>
      <c r="GG58" s="66">
        <f t="shared" si="53"/>
        <v>0</v>
      </c>
      <c r="GH58" s="66">
        <f>IF($GA58&lt;&gt;0,GB58*$FZ58/$GA58,0)</f>
        <v>0</v>
      </c>
      <c r="GI58" s="12">
        <f t="shared" si="289"/>
        <v>27000</v>
      </c>
      <c r="GJ58" s="12">
        <f t="shared" si="179"/>
        <v>27000</v>
      </c>
      <c r="GK58" s="31">
        <f t="shared" si="290"/>
        <v>0</v>
      </c>
      <c r="GL58" s="123">
        <f t="shared" si="291"/>
        <v>0</v>
      </c>
      <c r="GM58" s="410">
        <f t="shared" si="16"/>
        <v>0</v>
      </c>
      <c r="GN58" s="414">
        <v>27000</v>
      </c>
      <c r="GO58" s="68">
        <v>1</v>
      </c>
      <c r="GP58" s="12"/>
      <c r="GQ58" s="15">
        <v>1</v>
      </c>
      <c r="GR58" s="15"/>
      <c r="GS58" s="15"/>
      <c r="GT58" s="15"/>
      <c r="GU58" s="61">
        <f t="shared" si="54"/>
        <v>0</v>
      </c>
      <c r="GV58" s="66">
        <f t="shared" si="17"/>
        <v>0</v>
      </c>
      <c r="GW58" s="12">
        <f t="shared" si="18"/>
        <v>27000</v>
      </c>
      <c r="GX58" s="12">
        <f t="shared" si="19"/>
        <v>0</v>
      </c>
      <c r="GY58" s="12">
        <f t="shared" si="20"/>
        <v>0</v>
      </c>
      <c r="GZ58" s="16">
        <f t="shared" si="21"/>
        <v>0</v>
      </c>
      <c r="HA58" s="59">
        <f t="shared" si="55"/>
        <v>0</v>
      </c>
      <c r="HB58" s="69">
        <v>50000</v>
      </c>
      <c r="HC58" s="68">
        <v>1</v>
      </c>
      <c r="HD58" s="12"/>
      <c r="HE58" s="15">
        <v>1</v>
      </c>
      <c r="HF58" s="15"/>
      <c r="HG58" s="15"/>
      <c r="HH58" s="15"/>
      <c r="HI58" s="15"/>
      <c r="HJ58" s="15"/>
      <c r="HK58" s="15"/>
      <c r="HL58" s="61">
        <f t="shared" si="56"/>
        <v>0</v>
      </c>
      <c r="HM58" s="66">
        <f t="shared" si="22"/>
        <v>0</v>
      </c>
      <c r="HN58" s="12">
        <f t="shared" si="23"/>
        <v>50000</v>
      </c>
      <c r="HO58" s="12">
        <f t="shared" si="24"/>
        <v>0</v>
      </c>
      <c r="HP58" s="12">
        <f t="shared" si="25"/>
        <v>0</v>
      </c>
      <c r="HQ58" s="12">
        <f t="shared" si="26"/>
        <v>0</v>
      </c>
      <c r="HR58" s="12">
        <f t="shared" si="27"/>
        <v>0</v>
      </c>
      <c r="HS58" s="12">
        <f t="shared" si="28"/>
        <v>0</v>
      </c>
      <c r="HT58" s="16">
        <f t="shared" si="29"/>
        <v>0</v>
      </c>
      <c r="HU58" s="59">
        <f t="shared" si="57"/>
        <v>0</v>
      </c>
      <c r="HV58" s="69">
        <v>27000</v>
      </c>
      <c r="HW58" s="68">
        <v>1</v>
      </c>
      <c r="HX58" s="12"/>
      <c r="HY58" s="15"/>
      <c r="HZ58" s="61">
        <f t="shared" si="58"/>
        <v>1</v>
      </c>
      <c r="IA58" s="66">
        <f t="shared" si="59"/>
        <v>0</v>
      </c>
      <c r="IB58" s="16">
        <f t="shared" si="59"/>
        <v>0</v>
      </c>
      <c r="IC58" s="59">
        <f t="shared" si="60"/>
        <v>27000</v>
      </c>
      <c r="ID58" s="69">
        <v>50000</v>
      </c>
      <c r="IE58" s="68">
        <v>1</v>
      </c>
      <c r="IF58" s="12"/>
      <c r="IG58" s="15">
        <v>1</v>
      </c>
      <c r="IH58" s="15"/>
      <c r="II58" s="15"/>
      <c r="IJ58" s="15"/>
      <c r="IK58" s="15"/>
      <c r="IL58" s="15"/>
      <c r="IM58" s="15"/>
      <c r="IN58" s="15"/>
      <c r="IO58" s="61">
        <f t="shared" si="61"/>
        <v>0</v>
      </c>
      <c r="IP58" s="66">
        <f t="shared" si="62"/>
        <v>0</v>
      </c>
      <c r="IQ58" s="12">
        <f t="shared" si="63"/>
        <v>50000</v>
      </c>
      <c r="IR58" s="12">
        <f t="shared" si="64"/>
        <v>0</v>
      </c>
      <c r="IS58" s="12">
        <f t="shared" si="65"/>
        <v>0</v>
      </c>
      <c r="IT58" s="12">
        <f t="shared" si="66"/>
        <v>0</v>
      </c>
      <c r="IU58" s="12">
        <f t="shared" si="67"/>
        <v>0</v>
      </c>
      <c r="IV58" s="12">
        <f t="shared" si="68"/>
        <v>0</v>
      </c>
      <c r="IW58" s="15">
        <f t="shared" si="69"/>
        <v>0</v>
      </c>
      <c r="IX58" s="16">
        <f t="shared" si="69"/>
        <v>0</v>
      </c>
      <c r="IY58" s="59">
        <f t="shared" si="70"/>
        <v>0</v>
      </c>
      <c r="IZ58" s="69">
        <v>50000</v>
      </c>
      <c r="JA58" s="68">
        <v>1</v>
      </c>
      <c r="JB58" s="12"/>
      <c r="JC58" s="15">
        <v>1</v>
      </c>
      <c r="JD58" s="15"/>
      <c r="JE58" s="15"/>
      <c r="JF58" s="15"/>
      <c r="JG58" s="15"/>
      <c r="JH58" s="15"/>
      <c r="JI58" s="15"/>
      <c r="JJ58" s="15"/>
      <c r="JK58" s="61">
        <f t="shared" si="295"/>
        <v>0</v>
      </c>
      <c r="JL58" s="66">
        <f t="shared" si="72"/>
        <v>0</v>
      </c>
      <c r="JM58" s="12">
        <f t="shared" si="276"/>
        <v>50000</v>
      </c>
      <c r="JN58" s="12">
        <f t="shared" si="277"/>
        <v>0</v>
      </c>
      <c r="JO58" s="12">
        <f t="shared" si="278"/>
        <v>0</v>
      </c>
      <c r="JP58" s="12">
        <f t="shared" si="279"/>
        <v>0</v>
      </c>
      <c r="JQ58" s="12">
        <f t="shared" si="280"/>
        <v>0</v>
      </c>
      <c r="JR58" s="12">
        <f t="shared" si="281"/>
        <v>0</v>
      </c>
      <c r="JS58" s="12">
        <f t="shared" si="282"/>
        <v>0</v>
      </c>
      <c r="JT58" s="16">
        <f t="shared" si="283"/>
        <v>0</v>
      </c>
      <c r="JU58" s="59">
        <f t="shared" si="81"/>
        <v>0</v>
      </c>
      <c r="JV58" s="69">
        <v>50000</v>
      </c>
      <c r="JW58" s="68">
        <v>1</v>
      </c>
      <c r="JX58" s="12"/>
      <c r="JY58" s="12">
        <v>0.75</v>
      </c>
      <c r="JZ58" s="15"/>
      <c r="KA58" s="15"/>
      <c r="KB58" s="15"/>
      <c r="KC58" s="15"/>
      <c r="KD58" s="15">
        <v>0.25</v>
      </c>
      <c r="KE58" s="15"/>
      <c r="KF58" s="15"/>
      <c r="KG58" s="61">
        <f t="shared" si="82"/>
        <v>0</v>
      </c>
      <c r="KH58" s="146">
        <f t="shared" si="83"/>
        <v>0</v>
      </c>
      <c r="KI58" s="12">
        <f t="shared" si="83"/>
        <v>37500</v>
      </c>
      <c r="KJ58" s="12">
        <f t="shared" si="84"/>
        <v>0</v>
      </c>
      <c r="KK58" s="12">
        <f t="shared" si="85"/>
        <v>0</v>
      </c>
      <c r="KL58" s="12">
        <f t="shared" si="86"/>
        <v>0</v>
      </c>
      <c r="KM58" s="12">
        <f t="shared" si="87"/>
        <v>0</v>
      </c>
      <c r="KN58" s="12">
        <f t="shared" si="88"/>
        <v>12500</v>
      </c>
      <c r="KO58" s="12">
        <f t="shared" si="89"/>
        <v>0</v>
      </c>
      <c r="KP58" s="16">
        <f t="shared" si="90"/>
        <v>0</v>
      </c>
      <c r="KQ58" s="59">
        <f t="shared" si="91"/>
        <v>0</v>
      </c>
      <c r="KR58" s="69">
        <v>50000</v>
      </c>
      <c r="KS58" s="68">
        <v>1</v>
      </c>
      <c r="KT58" s="12">
        <v>0.5</v>
      </c>
      <c r="KU58" s="15"/>
      <c r="KV58" s="15"/>
      <c r="KW58" s="15"/>
      <c r="KX58" s="15">
        <v>0.1</v>
      </c>
      <c r="KY58" s="15">
        <v>0.4</v>
      </c>
      <c r="KZ58" s="15"/>
      <c r="LA58" s="15"/>
      <c r="LB58" s="61">
        <f t="shared" si="92"/>
        <v>0</v>
      </c>
      <c r="LC58" s="66">
        <f t="shared" si="93"/>
        <v>25000</v>
      </c>
      <c r="LD58" s="12">
        <f t="shared" si="94"/>
        <v>0</v>
      </c>
      <c r="LE58" s="12">
        <f t="shared" si="95"/>
        <v>0</v>
      </c>
      <c r="LF58" s="12">
        <f t="shared" si="96"/>
        <v>0</v>
      </c>
      <c r="LG58" s="12">
        <f t="shared" si="97"/>
        <v>5000</v>
      </c>
      <c r="LH58" s="12">
        <f t="shared" si="98"/>
        <v>20000</v>
      </c>
      <c r="LI58" s="12">
        <f t="shared" si="99"/>
        <v>0</v>
      </c>
      <c r="LJ58" s="16">
        <f t="shared" si="100"/>
        <v>0</v>
      </c>
      <c r="LK58" s="59">
        <f t="shared" si="101"/>
        <v>0</v>
      </c>
      <c r="LL58" s="69">
        <v>50000</v>
      </c>
      <c r="LM58" s="68">
        <v>1</v>
      </c>
      <c r="LN58" s="15"/>
      <c r="LO58" s="15"/>
      <c r="LP58" s="15"/>
      <c r="LQ58" s="15"/>
      <c r="LR58" s="15">
        <v>1</v>
      </c>
      <c r="LS58" s="15"/>
      <c r="LT58" s="15"/>
      <c r="LU58" s="61">
        <f t="shared" si="102"/>
        <v>0</v>
      </c>
      <c r="LV58" s="66">
        <f t="shared" si="103"/>
        <v>0</v>
      </c>
      <c r="LW58" s="12">
        <f t="shared" si="104"/>
        <v>0</v>
      </c>
      <c r="LX58" s="12">
        <f t="shared" si="105"/>
        <v>0</v>
      </c>
      <c r="LY58" s="12">
        <f t="shared" si="106"/>
        <v>0</v>
      </c>
      <c r="LZ58" s="12">
        <f t="shared" si="107"/>
        <v>50000</v>
      </c>
      <c r="MA58" s="12">
        <f t="shared" si="108"/>
        <v>0</v>
      </c>
      <c r="MB58" s="16">
        <f t="shared" si="109"/>
        <v>0</v>
      </c>
      <c r="MC58" s="59">
        <f t="shared" si="110"/>
        <v>0</v>
      </c>
      <c r="MD58" s="69">
        <v>50000</v>
      </c>
      <c r="ME58" s="68">
        <v>1</v>
      </c>
      <c r="MF58" s="15"/>
      <c r="MG58" s="15"/>
      <c r="MH58" s="15"/>
      <c r="MI58" s="15">
        <v>1</v>
      </c>
      <c r="MJ58" s="15"/>
      <c r="MK58" s="15"/>
      <c r="ML58" s="15"/>
      <c r="MM58" s="61">
        <f t="shared" si="111"/>
        <v>0</v>
      </c>
      <c r="MN58" s="66">
        <f t="shared" si="112"/>
        <v>0</v>
      </c>
      <c r="MO58" s="12">
        <f t="shared" si="113"/>
        <v>0</v>
      </c>
      <c r="MP58" s="12">
        <f t="shared" si="114"/>
        <v>0</v>
      </c>
      <c r="MQ58" s="12">
        <f t="shared" si="115"/>
        <v>50000</v>
      </c>
      <c r="MR58" s="12">
        <f t="shared" si="116"/>
        <v>0</v>
      </c>
      <c r="MS58" s="12">
        <f t="shared" si="116"/>
        <v>0</v>
      </c>
      <c r="MT58" s="16">
        <f t="shared" si="117"/>
        <v>0</v>
      </c>
      <c r="MU58" s="59">
        <f t="shared" si="189"/>
        <v>0</v>
      </c>
      <c r="MV58" s="620">
        <v>42099.82</v>
      </c>
      <c r="MW58" s="619">
        <v>0.97</v>
      </c>
      <c r="MX58" s="15"/>
      <c r="MY58" s="15"/>
      <c r="MZ58" s="15"/>
      <c r="NA58" s="15"/>
      <c r="NB58" s="15"/>
      <c r="NC58" s="15"/>
      <c r="ND58" s="15"/>
      <c r="NE58" s="61">
        <f t="shared" si="118"/>
        <v>0.97</v>
      </c>
      <c r="NF58" s="66">
        <f t="shared" si="119"/>
        <v>0</v>
      </c>
      <c r="NG58" s="12">
        <f t="shared" si="120"/>
        <v>0</v>
      </c>
      <c r="NH58" s="12">
        <f t="shared" si="121"/>
        <v>0</v>
      </c>
      <c r="NI58" s="12">
        <f t="shared" si="122"/>
        <v>0</v>
      </c>
      <c r="NJ58" s="12">
        <f t="shared" si="123"/>
        <v>0</v>
      </c>
      <c r="NK58" s="12">
        <f t="shared" si="123"/>
        <v>0</v>
      </c>
      <c r="NL58" s="16">
        <f t="shared" si="124"/>
        <v>0</v>
      </c>
      <c r="NM58" s="59">
        <f t="shared" si="125"/>
        <v>42099.82</v>
      </c>
      <c r="NN58" s="620">
        <v>43838.95</v>
      </c>
      <c r="NO58" s="619">
        <v>0.81</v>
      </c>
      <c r="NP58" s="15"/>
      <c r="NQ58" s="15"/>
      <c r="NR58" s="15"/>
      <c r="NS58" s="15"/>
      <c r="NT58" s="15"/>
      <c r="NU58" s="61">
        <f t="shared" si="126"/>
        <v>0.81</v>
      </c>
      <c r="NV58" s="66">
        <f t="shared" si="190"/>
        <v>0</v>
      </c>
      <c r="NW58" s="12">
        <f t="shared" si="209"/>
        <v>0</v>
      </c>
      <c r="NX58" s="12">
        <f t="shared" si="210"/>
        <v>0</v>
      </c>
      <c r="NY58" s="12">
        <f t="shared" si="211"/>
        <v>0</v>
      </c>
      <c r="NZ58" s="16">
        <f t="shared" si="212"/>
        <v>0</v>
      </c>
      <c r="OA58" s="59">
        <f t="shared" si="131"/>
        <v>43838.95</v>
      </c>
      <c r="OB58" s="134">
        <v>60000</v>
      </c>
      <c r="OC58" s="133">
        <v>1</v>
      </c>
      <c r="OD58" s="15"/>
      <c r="OE58" s="15"/>
      <c r="OF58" s="15"/>
      <c r="OG58" s="15"/>
      <c r="OH58" s="15"/>
      <c r="OI58" s="61">
        <f t="shared" si="163"/>
        <v>1</v>
      </c>
      <c r="OJ58" s="66">
        <f t="shared" si="132"/>
        <v>0</v>
      </c>
      <c r="OK58" s="12">
        <f t="shared" si="133"/>
        <v>0</v>
      </c>
      <c r="OL58" s="12">
        <f t="shared" si="134"/>
        <v>0</v>
      </c>
      <c r="OM58" s="12">
        <f t="shared" si="135"/>
        <v>0</v>
      </c>
      <c r="ON58" s="16">
        <f t="shared" si="136"/>
        <v>0</v>
      </c>
      <c r="OO58" s="59">
        <f t="shared" si="137"/>
        <v>60000</v>
      </c>
      <c r="OP58" s="134">
        <v>60000</v>
      </c>
      <c r="OQ58" s="133">
        <v>1</v>
      </c>
      <c r="OR58" s="15"/>
      <c r="OS58" s="15"/>
      <c r="OT58" s="15"/>
      <c r="OU58" s="15"/>
      <c r="OV58" s="15"/>
      <c r="OW58" s="61">
        <f t="shared" si="138"/>
        <v>1</v>
      </c>
      <c r="OX58" s="66">
        <f t="shared" si="139"/>
        <v>0</v>
      </c>
      <c r="OY58" s="12">
        <f t="shared" si="140"/>
        <v>0</v>
      </c>
      <c r="OZ58" s="12">
        <f t="shared" si="141"/>
        <v>0</v>
      </c>
      <c r="PA58" s="12">
        <f t="shared" si="142"/>
        <v>0</v>
      </c>
      <c r="PB58" s="16">
        <f t="shared" si="143"/>
        <v>0</v>
      </c>
      <c r="PC58" s="59">
        <f t="shared" si="144"/>
        <v>60000</v>
      </c>
      <c r="PD58" s="134">
        <v>60000</v>
      </c>
      <c r="PE58" s="133">
        <v>1</v>
      </c>
      <c r="PF58" s="15"/>
      <c r="PG58" s="15"/>
      <c r="PH58" s="15"/>
      <c r="PI58" s="15"/>
      <c r="PJ58" s="15"/>
      <c r="PK58" s="61">
        <f t="shared" si="145"/>
        <v>1</v>
      </c>
      <c r="PL58" s="66">
        <f t="shared" si="174"/>
        <v>0</v>
      </c>
      <c r="PM58" s="12">
        <f t="shared" si="175"/>
        <v>0</v>
      </c>
      <c r="PN58" s="12">
        <f t="shared" si="176"/>
        <v>0</v>
      </c>
      <c r="PO58" s="12">
        <f t="shared" si="177"/>
        <v>0</v>
      </c>
      <c r="PP58" s="16">
        <f t="shared" si="178"/>
        <v>0</v>
      </c>
      <c r="PQ58" s="59">
        <f t="shared" si="150"/>
        <v>60000</v>
      </c>
      <c r="PS58" s="884">
        <f t="shared" si="151"/>
        <v>0</v>
      </c>
    </row>
    <row r="59" spans="2:435" x14ac:dyDescent="0.2">
      <c r="B59" s="24"/>
      <c r="C59" s="137" t="s">
        <v>33</v>
      </c>
      <c r="D59" s="26">
        <f>47058.82+815.94</f>
        <v>47874.76</v>
      </c>
      <c r="E59" s="42">
        <v>0.97</v>
      </c>
      <c r="F59" s="31">
        <v>0.96</v>
      </c>
      <c r="G59" s="12"/>
      <c r="H59" s="12"/>
      <c r="I59" s="12"/>
      <c r="J59" s="12"/>
      <c r="K59" s="12"/>
      <c r="L59" s="15"/>
      <c r="M59" s="61">
        <f t="shared" si="41"/>
        <v>0.01</v>
      </c>
      <c r="N59" s="31">
        <f t="shared" si="292"/>
        <v>47381.21</v>
      </c>
      <c r="O59" s="12">
        <f t="shared" si="292"/>
        <v>0</v>
      </c>
      <c r="P59" s="12">
        <f t="shared" si="292"/>
        <v>0</v>
      </c>
      <c r="Q59" s="12">
        <f t="shared" si="292"/>
        <v>0</v>
      </c>
      <c r="R59" s="12">
        <f t="shared" si="292"/>
        <v>0</v>
      </c>
      <c r="S59" s="12">
        <f t="shared" si="292"/>
        <v>0</v>
      </c>
      <c r="T59" s="15">
        <f t="shared" si="292"/>
        <v>0</v>
      </c>
      <c r="U59" s="59">
        <f t="shared" si="191"/>
        <v>493.55</v>
      </c>
      <c r="V59" s="26">
        <f>37894.74</f>
        <v>37894.74</v>
      </c>
      <c r="W59" s="42">
        <v>0.68</v>
      </c>
      <c r="X59" s="31"/>
      <c r="Y59" s="12"/>
      <c r="Z59" s="12"/>
      <c r="AA59" s="12"/>
      <c r="AB59" s="12">
        <v>0.6</v>
      </c>
      <c r="AC59" s="12"/>
      <c r="AD59" s="15"/>
      <c r="AE59" s="15">
        <v>0.05</v>
      </c>
      <c r="AF59" s="61">
        <f t="shared" si="42"/>
        <v>0.03</v>
      </c>
      <c r="AG59" s="35">
        <f t="shared" si="43"/>
        <v>0</v>
      </c>
      <c r="AH59" s="35">
        <f t="shared" si="43"/>
        <v>0</v>
      </c>
      <c r="AI59" s="35">
        <f t="shared" si="43"/>
        <v>0</v>
      </c>
      <c r="AJ59" s="35">
        <f t="shared" si="43"/>
        <v>0</v>
      </c>
      <c r="AK59" s="35">
        <f t="shared" si="43"/>
        <v>33436.54</v>
      </c>
      <c r="AL59" s="35">
        <f t="shared" si="43"/>
        <v>0</v>
      </c>
      <c r="AM59" s="35">
        <f t="shared" si="43"/>
        <v>0</v>
      </c>
      <c r="AN59" s="35">
        <f t="shared" si="43"/>
        <v>2786.38</v>
      </c>
      <c r="AO59" s="62">
        <f t="shared" si="44"/>
        <v>1671.82</v>
      </c>
      <c r="AP59" s="26">
        <v>60000</v>
      </c>
      <c r="AQ59" s="42">
        <v>1</v>
      </c>
      <c r="AR59" s="12"/>
      <c r="AS59" s="12"/>
      <c r="AT59" s="12">
        <v>0.5</v>
      </c>
      <c r="AU59" s="12"/>
      <c r="AV59" s="15">
        <v>0.5</v>
      </c>
      <c r="AW59" s="15"/>
      <c r="AX59" s="61">
        <f t="shared" si="45"/>
        <v>0</v>
      </c>
      <c r="AY59" s="35">
        <f t="shared" si="273"/>
        <v>0</v>
      </c>
      <c r="AZ59" s="35">
        <f t="shared" si="273"/>
        <v>0</v>
      </c>
      <c r="BA59" s="35">
        <f t="shared" si="273"/>
        <v>30000</v>
      </c>
      <c r="BB59" s="35">
        <f t="shared" si="273"/>
        <v>0</v>
      </c>
      <c r="BC59" s="35">
        <f t="shared" si="273"/>
        <v>30000</v>
      </c>
      <c r="BD59" s="34">
        <f t="shared" si="273"/>
        <v>0</v>
      </c>
      <c r="BE59" s="59">
        <f t="shared" si="46"/>
        <v>0</v>
      </c>
      <c r="BF59" s="26">
        <v>70512.05</v>
      </c>
      <c r="BG59" s="42">
        <v>0.43</v>
      </c>
      <c r="BH59" s="12"/>
      <c r="BI59" s="12"/>
      <c r="BJ59" s="12"/>
      <c r="BK59" s="12"/>
      <c r="BL59" s="15"/>
      <c r="BM59" s="15">
        <v>0.4</v>
      </c>
      <c r="BN59" s="15"/>
      <c r="BO59" s="61">
        <f t="shared" si="3"/>
        <v>0.03</v>
      </c>
      <c r="BP59" s="65">
        <f t="shared" si="274"/>
        <v>0</v>
      </c>
      <c r="BQ59" s="33">
        <f t="shared" si="274"/>
        <v>0</v>
      </c>
      <c r="BR59" s="33">
        <f t="shared" si="274"/>
        <v>0</v>
      </c>
      <c r="BS59" s="33">
        <f t="shared" si="274"/>
        <v>0</v>
      </c>
      <c r="BT59" s="33">
        <f t="shared" si="274"/>
        <v>0</v>
      </c>
      <c r="BU59" s="33">
        <f t="shared" si="274"/>
        <v>65592.600000000006</v>
      </c>
      <c r="BV59" s="34">
        <f t="shared" si="274"/>
        <v>0</v>
      </c>
      <c r="BW59" s="59">
        <f t="shared" si="192"/>
        <v>4919.45</v>
      </c>
      <c r="BX59" s="26"/>
      <c r="BY59" s="68"/>
      <c r="BZ59" s="31"/>
      <c r="CA59" s="12"/>
      <c r="CB59" s="12"/>
      <c r="CC59" s="12"/>
      <c r="CD59" s="15"/>
      <c r="CE59" s="15"/>
      <c r="CF59" s="15"/>
      <c r="CG59" s="61">
        <f t="shared" si="5"/>
        <v>0</v>
      </c>
      <c r="CH59" s="66">
        <f t="shared" si="47"/>
        <v>0</v>
      </c>
      <c r="CI59" s="12">
        <f t="shared" si="47"/>
        <v>0</v>
      </c>
      <c r="CJ59" s="12">
        <f t="shared" si="47"/>
        <v>0</v>
      </c>
      <c r="CK59" s="12">
        <f t="shared" si="47"/>
        <v>0</v>
      </c>
      <c r="CL59" s="12">
        <f t="shared" si="47"/>
        <v>0</v>
      </c>
      <c r="CM59" s="12">
        <f t="shared" si="47"/>
        <v>0</v>
      </c>
      <c r="CN59" s="16">
        <f t="shared" si="47"/>
        <v>0</v>
      </c>
      <c r="CO59" s="59">
        <f t="shared" si="193"/>
        <v>0</v>
      </c>
      <c r="CP59" s="26"/>
      <c r="CQ59" s="68"/>
      <c r="CR59" s="12"/>
      <c r="CS59" s="12"/>
      <c r="CT59" s="12"/>
      <c r="CU59" s="12"/>
      <c r="CV59" s="15"/>
      <c r="CW59" s="15"/>
      <c r="CX59" s="15"/>
      <c r="CY59" s="61">
        <f t="shared" si="7"/>
        <v>0</v>
      </c>
      <c r="CZ59" s="66">
        <f t="shared" si="194"/>
        <v>0</v>
      </c>
      <c r="DA59" s="12">
        <f t="shared" si="194"/>
        <v>0</v>
      </c>
      <c r="DB59" s="12">
        <f t="shared" si="194"/>
        <v>0</v>
      </c>
      <c r="DC59" s="12">
        <f t="shared" si="194"/>
        <v>0</v>
      </c>
      <c r="DD59" s="12">
        <f t="shared" si="194"/>
        <v>0</v>
      </c>
      <c r="DE59" s="12">
        <f t="shared" si="194"/>
        <v>0</v>
      </c>
      <c r="DF59" s="16">
        <f t="shared" si="194"/>
        <v>0</v>
      </c>
      <c r="DG59" s="59">
        <f t="shared" si="195"/>
        <v>0</v>
      </c>
      <c r="DH59" s="26"/>
      <c r="DI59" s="68"/>
      <c r="DJ59" s="12"/>
      <c r="DK59" s="12"/>
      <c r="DL59" s="12"/>
      <c r="DM59" s="12"/>
      <c r="DN59" s="15"/>
      <c r="DO59" s="15"/>
      <c r="DP59" s="15"/>
      <c r="DQ59" s="61">
        <f t="shared" si="9"/>
        <v>0</v>
      </c>
      <c r="DR59" s="66">
        <f t="shared" si="48"/>
        <v>0</v>
      </c>
      <c r="DS59" s="12">
        <f t="shared" si="48"/>
        <v>0</v>
      </c>
      <c r="DT59" s="12">
        <f t="shared" si="48"/>
        <v>0</v>
      </c>
      <c r="DU59" s="12">
        <f t="shared" si="48"/>
        <v>0</v>
      </c>
      <c r="DV59" s="12">
        <f t="shared" si="48"/>
        <v>0</v>
      </c>
      <c r="DW59" s="12">
        <f t="shared" si="48"/>
        <v>0</v>
      </c>
      <c r="DX59" s="16">
        <f t="shared" si="48"/>
        <v>0</v>
      </c>
      <c r="DY59" s="59">
        <f t="shared" si="196"/>
        <v>0</v>
      </c>
      <c r="DZ59" s="26"/>
      <c r="EA59" s="68"/>
      <c r="EB59" s="12"/>
      <c r="EC59" s="12"/>
      <c r="ED59" s="12"/>
      <c r="EE59" s="15"/>
      <c r="EF59" s="15"/>
      <c r="EG59" s="15"/>
      <c r="EH59" s="61">
        <f t="shared" si="197"/>
        <v>0</v>
      </c>
      <c r="EI59" s="66">
        <f t="shared" si="275"/>
        <v>0</v>
      </c>
      <c r="EJ59" s="12">
        <f t="shared" si="275"/>
        <v>0</v>
      </c>
      <c r="EK59" s="12">
        <f t="shared" si="275"/>
        <v>0</v>
      </c>
      <c r="EL59" s="12">
        <f t="shared" si="275"/>
        <v>0</v>
      </c>
      <c r="EM59" s="12">
        <f t="shared" si="275"/>
        <v>0</v>
      </c>
      <c r="EN59" s="16">
        <f t="shared" si="275"/>
        <v>0</v>
      </c>
      <c r="EO59" s="59">
        <f t="shared" si="198"/>
        <v>0</v>
      </c>
      <c r="EP59" s="26"/>
      <c r="EQ59" s="68"/>
      <c r="ER59" s="12"/>
      <c r="ES59" s="12"/>
      <c r="ET59" s="15"/>
      <c r="EU59" s="15"/>
      <c r="EV59" s="61">
        <f t="shared" si="199"/>
        <v>0</v>
      </c>
      <c r="EW59" s="66">
        <f t="shared" si="49"/>
        <v>0</v>
      </c>
      <c r="EX59" s="12">
        <f t="shared" si="49"/>
        <v>0</v>
      </c>
      <c r="EY59" s="12">
        <f t="shared" si="49"/>
        <v>0</v>
      </c>
      <c r="EZ59" s="16">
        <f t="shared" si="49"/>
        <v>0</v>
      </c>
      <c r="FA59" s="59">
        <f t="shared" si="200"/>
        <v>0</v>
      </c>
      <c r="FB59" s="26"/>
      <c r="FC59" s="68"/>
      <c r="FD59" s="12"/>
      <c r="FE59" s="15"/>
      <c r="FF59" s="15"/>
      <c r="FG59" s="61">
        <f t="shared" si="201"/>
        <v>0</v>
      </c>
      <c r="FH59" s="66">
        <f t="shared" si="50"/>
        <v>0</v>
      </c>
      <c r="FI59" s="12">
        <f t="shared" si="50"/>
        <v>0</v>
      </c>
      <c r="FJ59" s="16">
        <f t="shared" si="50"/>
        <v>0</v>
      </c>
      <c r="FK59" s="59">
        <f t="shared" si="202"/>
        <v>0</v>
      </c>
      <c r="FL59" s="26"/>
      <c r="FM59" s="68"/>
      <c r="FN59" s="12"/>
      <c r="FO59" s="15"/>
      <c r="FP59" s="15"/>
      <c r="FQ59" s="15"/>
      <c r="FR59" s="15"/>
      <c r="FS59" s="61">
        <f t="shared" si="203"/>
        <v>0</v>
      </c>
      <c r="FT59" s="66">
        <f t="shared" si="296"/>
        <v>0</v>
      </c>
      <c r="FU59" s="12">
        <f t="shared" si="297"/>
        <v>0</v>
      </c>
      <c r="FV59" s="12">
        <f t="shared" si="206"/>
        <v>0</v>
      </c>
      <c r="FW59" s="12">
        <f t="shared" si="207"/>
        <v>0</v>
      </c>
      <c r="FX59" s="16">
        <f t="shared" si="51"/>
        <v>0</v>
      </c>
      <c r="FY59" s="59">
        <f t="shared" si="52"/>
        <v>0</v>
      </c>
      <c r="FZ59" s="26"/>
      <c r="GA59" s="68"/>
      <c r="GB59" s="12"/>
      <c r="GC59" s="15"/>
      <c r="GD59" s="15"/>
      <c r="GE59" s="15"/>
      <c r="GF59" s="61">
        <f t="shared" si="208"/>
        <v>0</v>
      </c>
      <c r="GG59" s="66">
        <f t="shared" si="53"/>
        <v>0</v>
      </c>
      <c r="GH59" s="66">
        <f>IF($GA59&lt;&gt;0,GB59*$FZ59/$GA59,0)</f>
        <v>0</v>
      </c>
      <c r="GI59" s="12">
        <f t="shared" si="289"/>
        <v>0</v>
      </c>
      <c r="GJ59" s="12">
        <f t="shared" si="179"/>
        <v>0</v>
      </c>
      <c r="GK59" s="31">
        <f t="shared" si="290"/>
        <v>0</v>
      </c>
      <c r="GL59" s="123">
        <f t="shared" si="291"/>
        <v>0</v>
      </c>
      <c r="GM59" s="410">
        <f t="shared" si="16"/>
        <v>0</v>
      </c>
      <c r="GN59" s="414"/>
      <c r="GO59" s="68"/>
      <c r="GP59" s="12"/>
      <c r="GQ59" s="15"/>
      <c r="GR59" s="15"/>
      <c r="GS59" s="15"/>
      <c r="GT59" s="15"/>
      <c r="GU59" s="61">
        <f t="shared" si="54"/>
        <v>0</v>
      </c>
      <c r="GV59" s="66">
        <f t="shared" si="17"/>
        <v>0</v>
      </c>
      <c r="GW59" s="12">
        <f t="shared" si="18"/>
        <v>0</v>
      </c>
      <c r="GX59" s="12">
        <f t="shared" si="19"/>
        <v>0</v>
      </c>
      <c r="GY59" s="12">
        <f t="shared" si="20"/>
        <v>0</v>
      </c>
      <c r="GZ59" s="16">
        <f t="shared" si="21"/>
        <v>0</v>
      </c>
      <c r="HA59" s="59">
        <f t="shared" si="55"/>
        <v>0</v>
      </c>
      <c r="HB59" s="26"/>
      <c r="HC59" s="68"/>
      <c r="HD59" s="12"/>
      <c r="HE59" s="15"/>
      <c r="HF59" s="15"/>
      <c r="HG59" s="15"/>
      <c r="HH59" s="15"/>
      <c r="HI59" s="15"/>
      <c r="HJ59" s="15"/>
      <c r="HK59" s="15"/>
      <c r="HL59" s="61">
        <f t="shared" si="56"/>
        <v>0</v>
      </c>
      <c r="HM59" s="66">
        <f t="shared" si="22"/>
        <v>0</v>
      </c>
      <c r="HN59" s="12">
        <f t="shared" si="23"/>
        <v>0</v>
      </c>
      <c r="HO59" s="12">
        <f t="shared" si="24"/>
        <v>0</v>
      </c>
      <c r="HP59" s="12">
        <f t="shared" si="25"/>
        <v>0</v>
      </c>
      <c r="HQ59" s="12">
        <f t="shared" si="26"/>
        <v>0</v>
      </c>
      <c r="HR59" s="12">
        <f t="shared" si="27"/>
        <v>0</v>
      </c>
      <c r="HS59" s="12">
        <f t="shared" si="28"/>
        <v>0</v>
      </c>
      <c r="HT59" s="16">
        <f t="shared" si="29"/>
        <v>0</v>
      </c>
      <c r="HU59" s="59">
        <f t="shared" si="57"/>
        <v>0</v>
      </c>
      <c r="HV59" s="26"/>
      <c r="HW59" s="68"/>
      <c r="HX59" s="12"/>
      <c r="HY59" s="15"/>
      <c r="HZ59" s="61">
        <f t="shared" si="58"/>
        <v>0</v>
      </c>
      <c r="IA59" s="66">
        <f t="shared" si="59"/>
        <v>0</v>
      </c>
      <c r="IB59" s="16">
        <f t="shared" si="59"/>
        <v>0</v>
      </c>
      <c r="IC59" s="59">
        <f t="shared" si="60"/>
        <v>0</v>
      </c>
      <c r="ID59" s="26"/>
      <c r="IE59" s="68"/>
      <c r="IF59" s="12"/>
      <c r="IG59" s="15"/>
      <c r="IH59" s="15"/>
      <c r="II59" s="15"/>
      <c r="IJ59" s="15"/>
      <c r="IK59" s="15"/>
      <c r="IL59" s="15"/>
      <c r="IM59" s="15"/>
      <c r="IN59" s="15"/>
      <c r="IO59" s="61">
        <f t="shared" si="61"/>
        <v>0</v>
      </c>
      <c r="IP59" s="66">
        <f t="shared" si="62"/>
        <v>0</v>
      </c>
      <c r="IQ59" s="12">
        <f t="shared" si="63"/>
        <v>0</v>
      </c>
      <c r="IR59" s="12">
        <f t="shared" si="64"/>
        <v>0</v>
      </c>
      <c r="IS59" s="12">
        <f t="shared" si="65"/>
        <v>0</v>
      </c>
      <c r="IT59" s="12">
        <f t="shared" si="66"/>
        <v>0</v>
      </c>
      <c r="IU59" s="12">
        <f t="shared" si="67"/>
        <v>0</v>
      </c>
      <c r="IV59" s="12">
        <f t="shared" si="68"/>
        <v>0</v>
      </c>
      <c r="IW59" s="15">
        <f t="shared" si="69"/>
        <v>0</v>
      </c>
      <c r="IX59" s="16">
        <f t="shared" si="69"/>
        <v>0</v>
      </c>
      <c r="IY59" s="59">
        <f t="shared" si="70"/>
        <v>0</v>
      </c>
      <c r="IZ59" s="26"/>
      <c r="JA59" s="68"/>
      <c r="JB59" s="12"/>
      <c r="JC59" s="15"/>
      <c r="JD59" s="15"/>
      <c r="JE59" s="15"/>
      <c r="JF59" s="15"/>
      <c r="JG59" s="15"/>
      <c r="JH59" s="15"/>
      <c r="JI59" s="15"/>
      <c r="JJ59" s="15"/>
      <c r="JK59" s="61">
        <f t="shared" si="295"/>
        <v>0</v>
      </c>
      <c r="JL59" s="66">
        <f t="shared" si="72"/>
        <v>0</v>
      </c>
      <c r="JM59" s="12">
        <f t="shared" si="276"/>
        <v>0</v>
      </c>
      <c r="JN59" s="12">
        <f t="shared" si="277"/>
        <v>0</v>
      </c>
      <c r="JO59" s="12">
        <f t="shared" si="278"/>
        <v>0</v>
      </c>
      <c r="JP59" s="12">
        <f t="shared" si="279"/>
        <v>0</v>
      </c>
      <c r="JQ59" s="12">
        <f t="shared" si="280"/>
        <v>0</v>
      </c>
      <c r="JR59" s="12">
        <f t="shared" si="281"/>
        <v>0</v>
      </c>
      <c r="JS59" s="12">
        <f t="shared" si="282"/>
        <v>0</v>
      </c>
      <c r="JT59" s="16">
        <f t="shared" si="283"/>
        <v>0</v>
      </c>
      <c r="JU59" s="59">
        <f t="shared" si="81"/>
        <v>0</v>
      </c>
      <c r="JV59" s="26"/>
      <c r="JW59" s="68"/>
      <c r="JX59" s="12"/>
      <c r="JY59" s="12"/>
      <c r="JZ59" s="15"/>
      <c r="KA59" s="15"/>
      <c r="KB59" s="15"/>
      <c r="KC59" s="15"/>
      <c r="KD59" s="15"/>
      <c r="KE59" s="15"/>
      <c r="KF59" s="15"/>
      <c r="KG59" s="61">
        <f t="shared" si="82"/>
        <v>0</v>
      </c>
      <c r="KH59" s="146">
        <f t="shared" si="83"/>
        <v>0</v>
      </c>
      <c r="KI59" s="12">
        <f t="shared" si="83"/>
        <v>0</v>
      </c>
      <c r="KJ59" s="12">
        <f t="shared" si="84"/>
        <v>0</v>
      </c>
      <c r="KK59" s="12">
        <f t="shared" si="85"/>
        <v>0</v>
      </c>
      <c r="KL59" s="12">
        <f t="shared" si="86"/>
        <v>0</v>
      </c>
      <c r="KM59" s="12">
        <f t="shared" si="87"/>
        <v>0</v>
      </c>
      <c r="KN59" s="12">
        <f t="shared" si="88"/>
        <v>0</v>
      </c>
      <c r="KO59" s="12">
        <f t="shared" si="89"/>
        <v>0</v>
      </c>
      <c r="KP59" s="16">
        <f t="shared" si="90"/>
        <v>0</v>
      </c>
      <c r="KQ59" s="59">
        <f t="shared" si="91"/>
        <v>0</v>
      </c>
      <c r="KR59" s="26"/>
      <c r="KS59" s="68"/>
      <c r="KT59" s="12"/>
      <c r="KU59" s="15"/>
      <c r="KV59" s="15"/>
      <c r="KW59" s="15"/>
      <c r="KX59" s="15"/>
      <c r="KY59" s="15"/>
      <c r="KZ59" s="15"/>
      <c r="LA59" s="15"/>
      <c r="LB59" s="61">
        <f t="shared" si="92"/>
        <v>0</v>
      </c>
      <c r="LC59" s="66">
        <f t="shared" si="93"/>
        <v>0</v>
      </c>
      <c r="LD59" s="12">
        <f t="shared" si="94"/>
        <v>0</v>
      </c>
      <c r="LE59" s="12">
        <f t="shared" si="95"/>
        <v>0</v>
      </c>
      <c r="LF59" s="12">
        <f t="shared" si="96"/>
        <v>0</v>
      </c>
      <c r="LG59" s="12">
        <f t="shared" si="97"/>
        <v>0</v>
      </c>
      <c r="LH59" s="12">
        <f t="shared" si="98"/>
        <v>0</v>
      </c>
      <c r="LI59" s="12">
        <f t="shared" si="99"/>
        <v>0</v>
      </c>
      <c r="LJ59" s="16">
        <f t="shared" si="100"/>
        <v>0</v>
      </c>
      <c r="LK59" s="59">
        <f t="shared" si="101"/>
        <v>0</v>
      </c>
      <c r="LL59" s="26"/>
      <c r="LM59" s="68"/>
      <c r="LN59" s="15"/>
      <c r="LO59" s="15"/>
      <c r="LP59" s="15"/>
      <c r="LQ59" s="15"/>
      <c r="LR59" s="15"/>
      <c r="LS59" s="15"/>
      <c r="LT59" s="15"/>
      <c r="LU59" s="61">
        <f t="shared" si="102"/>
        <v>0</v>
      </c>
      <c r="LV59" s="66">
        <f t="shared" si="103"/>
        <v>0</v>
      </c>
      <c r="LW59" s="12">
        <f t="shared" si="104"/>
        <v>0</v>
      </c>
      <c r="LX59" s="12">
        <f t="shared" si="105"/>
        <v>0</v>
      </c>
      <c r="LY59" s="12">
        <f t="shared" si="106"/>
        <v>0</v>
      </c>
      <c r="LZ59" s="12">
        <f t="shared" si="107"/>
        <v>0</v>
      </c>
      <c r="MA59" s="12">
        <f t="shared" si="108"/>
        <v>0</v>
      </c>
      <c r="MB59" s="16">
        <f t="shared" si="109"/>
        <v>0</v>
      </c>
      <c r="MC59" s="59">
        <f t="shared" si="110"/>
        <v>0</v>
      </c>
      <c r="MD59" s="26"/>
      <c r="ME59" s="68"/>
      <c r="MF59" s="15"/>
      <c r="MG59" s="15"/>
      <c r="MH59" s="15"/>
      <c r="MI59" s="15"/>
      <c r="MJ59" s="15"/>
      <c r="MK59" s="15"/>
      <c r="ML59" s="15"/>
      <c r="MM59" s="61">
        <f t="shared" si="111"/>
        <v>0</v>
      </c>
      <c r="MN59" s="66">
        <f t="shared" si="112"/>
        <v>0</v>
      </c>
      <c r="MO59" s="12">
        <f t="shared" si="113"/>
        <v>0</v>
      </c>
      <c r="MP59" s="12">
        <f t="shared" si="114"/>
        <v>0</v>
      </c>
      <c r="MQ59" s="12">
        <f t="shared" si="115"/>
        <v>0</v>
      </c>
      <c r="MR59" s="12">
        <f t="shared" si="116"/>
        <v>0</v>
      </c>
      <c r="MS59" s="12">
        <f t="shared" si="116"/>
        <v>0</v>
      </c>
      <c r="MT59" s="16">
        <f t="shared" si="117"/>
        <v>0</v>
      </c>
      <c r="MU59" s="59">
        <f t="shared" si="189"/>
        <v>0</v>
      </c>
      <c r="MV59" s="621"/>
      <c r="MW59" s="619"/>
      <c r="MX59" s="15"/>
      <c r="MY59" s="15"/>
      <c r="MZ59" s="15"/>
      <c r="NA59" s="15"/>
      <c r="NB59" s="15"/>
      <c r="NC59" s="15"/>
      <c r="ND59" s="15"/>
      <c r="NE59" s="61">
        <f t="shared" si="118"/>
        <v>0</v>
      </c>
      <c r="NF59" s="66">
        <f t="shared" si="119"/>
        <v>0</v>
      </c>
      <c r="NG59" s="12">
        <f t="shared" si="120"/>
        <v>0</v>
      </c>
      <c r="NH59" s="12">
        <f t="shared" si="121"/>
        <v>0</v>
      </c>
      <c r="NI59" s="12">
        <f t="shared" si="122"/>
        <v>0</v>
      </c>
      <c r="NJ59" s="12">
        <f t="shared" si="123"/>
        <v>0</v>
      </c>
      <c r="NK59" s="12">
        <f t="shared" si="123"/>
        <v>0</v>
      </c>
      <c r="NL59" s="16">
        <f t="shared" si="124"/>
        <v>0</v>
      </c>
      <c r="NM59" s="59">
        <f t="shared" si="125"/>
        <v>0</v>
      </c>
      <c r="NN59" s="621"/>
      <c r="NO59" s="619"/>
      <c r="NP59" s="15"/>
      <c r="NQ59" s="15"/>
      <c r="NR59" s="15"/>
      <c r="NS59" s="15"/>
      <c r="NT59" s="15"/>
      <c r="NU59" s="61">
        <f t="shared" si="126"/>
        <v>0</v>
      </c>
      <c r="NV59" s="66">
        <f t="shared" si="190"/>
        <v>0</v>
      </c>
      <c r="NW59" s="12">
        <f t="shared" si="209"/>
        <v>0</v>
      </c>
      <c r="NX59" s="12">
        <f t="shared" si="210"/>
        <v>0</v>
      </c>
      <c r="NY59" s="12">
        <f t="shared" si="211"/>
        <v>0</v>
      </c>
      <c r="NZ59" s="16">
        <f t="shared" si="212"/>
        <v>0</v>
      </c>
      <c r="OA59" s="59">
        <f t="shared" si="131"/>
        <v>0</v>
      </c>
      <c r="OB59" s="135"/>
      <c r="OC59" s="133"/>
      <c r="OD59" s="15"/>
      <c r="OE59" s="15"/>
      <c r="OF59" s="15"/>
      <c r="OG59" s="15"/>
      <c r="OH59" s="15"/>
      <c r="OI59" s="61">
        <f t="shared" si="163"/>
        <v>0</v>
      </c>
      <c r="OJ59" s="66">
        <f t="shared" si="132"/>
        <v>0</v>
      </c>
      <c r="OK59" s="12">
        <f t="shared" si="133"/>
        <v>0</v>
      </c>
      <c r="OL59" s="12">
        <f t="shared" si="134"/>
        <v>0</v>
      </c>
      <c r="OM59" s="12">
        <f t="shared" si="135"/>
        <v>0</v>
      </c>
      <c r="ON59" s="16">
        <f t="shared" si="136"/>
        <v>0</v>
      </c>
      <c r="OO59" s="59">
        <f t="shared" si="137"/>
        <v>0</v>
      </c>
      <c r="OP59" s="135"/>
      <c r="OQ59" s="133"/>
      <c r="OR59" s="15"/>
      <c r="OS59" s="15"/>
      <c r="OT59" s="15"/>
      <c r="OU59" s="15"/>
      <c r="OV59" s="15"/>
      <c r="OW59" s="61">
        <f t="shared" si="138"/>
        <v>0</v>
      </c>
      <c r="OX59" s="66">
        <f t="shared" si="139"/>
        <v>0</v>
      </c>
      <c r="OY59" s="12">
        <f t="shared" si="140"/>
        <v>0</v>
      </c>
      <c r="OZ59" s="12">
        <f t="shared" si="141"/>
        <v>0</v>
      </c>
      <c r="PA59" s="12">
        <f t="shared" si="142"/>
        <v>0</v>
      </c>
      <c r="PB59" s="16">
        <f t="shared" si="143"/>
        <v>0</v>
      </c>
      <c r="PC59" s="59">
        <f t="shared" si="144"/>
        <v>0</v>
      </c>
      <c r="PD59" s="135"/>
      <c r="PE59" s="133"/>
      <c r="PF59" s="15"/>
      <c r="PG59" s="15"/>
      <c r="PH59" s="15"/>
      <c r="PI59" s="15"/>
      <c r="PJ59" s="15"/>
      <c r="PK59" s="61">
        <f t="shared" si="145"/>
        <v>0</v>
      </c>
      <c r="PL59" s="66">
        <f t="shared" si="174"/>
        <v>0</v>
      </c>
      <c r="PM59" s="12">
        <f t="shared" si="175"/>
        <v>0</v>
      </c>
      <c r="PN59" s="12">
        <f t="shared" si="176"/>
        <v>0</v>
      </c>
      <c r="PO59" s="12">
        <f t="shared" si="177"/>
        <v>0</v>
      </c>
      <c r="PP59" s="16">
        <f t="shared" si="178"/>
        <v>0</v>
      </c>
      <c r="PQ59" s="59">
        <f t="shared" si="150"/>
        <v>0</v>
      </c>
      <c r="PS59" s="884">
        <f t="shared" si="151"/>
        <v>0</v>
      </c>
    </row>
    <row r="60" spans="2:435" x14ac:dyDescent="0.2">
      <c r="B60" s="24">
        <v>47</v>
      </c>
      <c r="C60" s="70" t="s">
        <v>45</v>
      </c>
      <c r="D60" s="26"/>
      <c r="E60" s="42"/>
      <c r="F60" s="31"/>
      <c r="G60" s="12"/>
      <c r="H60" s="12"/>
      <c r="I60" s="12"/>
      <c r="J60" s="12"/>
      <c r="K60" s="12"/>
      <c r="L60" s="15"/>
      <c r="M60" s="61">
        <f t="shared" si="41"/>
        <v>0</v>
      </c>
      <c r="N60" s="31">
        <f t="shared" ref="N60:T67" si="308">IF($E60&lt;&gt;0,F60*$D60/$E60,0)</f>
        <v>0</v>
      </c>
      <c r="O60" s="12">
        <f t="shared" si="308"/>
        <v>0</v>
      </c>
      <c r="P60" s="12">
        <f t="shared" si="308"/>
        <v>0</v>
      </c>
      <c r="Q60" s="12">
        <f t="shared" si="308"/>
        <v>0</v>
      </c>
      <c r="R60" s="12">
        <f t="shared" si="308"/>
        <v>0</v>
      </c>
      <c r="S60" s="12">
        <f t="shared" si="308"/>
        <v>0</v>
      </c>
      <c r="T60" s="15">
        <f t="shared" si="308"/>
        <v>0</v>
      </c>
      <c r="U60" s="59">
        <f t="shared" si="191"/>
        <v>0</v>
      </c>
      <c r="V60" s="26"/>
      <c r="W60" s="42"/>
      <c r="X60" s="31"/>
      <c r="Y60" s="12"/>
      <c r="Z60" s="12"/>
      <c r="AA60" s="12"/>
      <c r="AB60" s="12"/>
      <c r="AC60" s="12"/>
      <c r="AD60" s="15"/>
      <c r="AE60" s="15"/>
      <c r="AF60" s="61">
        <f t="shared" si="42"/>
        <v>0</v>
      </c>
      <c r="AG60" s="35">
        <f t="shared" si="43"/>
        <v>0</v>
      </c>
      <c r="AH60" s="35">
        <f t="shared" si="43"/>
        <v>0</v>
      </c>
      <c r="AI60" s="35">
        <f t="shared" si="43"/>
        <v>0</v>
      </c>
      <c r="AJ60" s="35">
        <f t="shared" si="43"/>
        <v>0</v>
      </c>
      <c r="AK60" s="35">
        <f t="shared" si="43"/>
        <v>0</v>
      </c>
      <c r="AL60" s="35">
        <f t="shared" si="43"/>
        <v>0</v>
      </c>
      <c r="AM60" s="35">
        <f t="shared" si="43"/>
        <v>0</v>
      </c>
      <c r="AN60" s="35">
        <f t="shared" si="43"/>
        <v>0</v>
      </c>
      <c r="AO60" s="62">
        <f t="shared" si="44"/>
        <v>0</v>
      </c>
      <c r="AP60" s="26"/>
      <c r="AQ60" s="42"/>
      <c r="AR60" s="12"/>
      <c r="AS60" s="12"/>
      <c r="AT60" s="12"/>
      <c r="AU60" s="12"/>
      <c r="AV60" s="15"/>
      <c r="AW60" s="15"/>
      <c r="AX60" s="61">
        <f t="shared" si="45"/>
        <v>0</v>
      </c>
      <c r="AY60" s="35">
        <f t="shared" si="273"/>
        <v>0</v>
      </c>
      <c r="AZ60" s="35">
        <f t="shared" si="273"/>
        <v>0</v>
      </c>
      <c r="BA60" s="35">
        <f t="shared" si="273"/>
        <v>0</v>
      </c>
      <c r="BB60" s="35">
        <f t="shared" si="273"/>
        <v>0</v>
      </c>
      <c r="BC60" s="35">
        <f t="shared" si="273"/>
        <v>0</v>
      </c>
      <c r="BD60" s="34">
        <f t="shared" si="273"/>
        <v>0</v>
      </c>
      <c r="BE60" s="59">
        <f t="shared" si="46"/>
        <v>0</v>
      </c>
      <c r="BF60" s="26">
        <v>25000</v>
      </c>
      <c r="BG60" s="42">
        <v>0.5</v>
      </c>
      <c r="BH60" s="12"/>
      <c r="BI60" s="12"/>
      <c r="BJ60" s="12"/>
      <c r="BK60" s="12"/>
      <c r="BL60" s="15">
        <v>0.5</v>
      </c>
      <c r="BM60" s="15"/>
      <c r="BN60" s="15"/>
      <c r="BO60" s="61">
        <f t="shared" si="3"/>
        <v>0</v>
      </c>
      <c r="BP60" s="65">
        <f t="shared" si="274"/>
        <v>0</v>
      </c>
      <c r="BQ60" s="33">
        <f t="shared" si="274"/>
        <v>0</v>
      </c>
      <c r="BR60" s="33">
        <f t="shared" si="274"/>
        <v>0</v>
      </c>
      <c r="BS60" s="33">
        <f t="shared" si="274"/>
        <v>0</v>
      </c>
      <c r="BT60" s="33">
        <f t="shared" si="274"/>
        <v>25000</v>
      </c>
      <c r="BU60" s="33">
        <f t="shared" si="274"/>
        <v>0</v>
      </c>
      <c r="BV60" s="34">
        <f t="shared" si="274"/>
        <v>0</v>
      </c>
      <c r="BW60" s="59">
        <f t="shared" si="192"/>
        <v>0</v>
      </c>
      <c r="BX60" s="69">
        <v>25000</v>
      </c>
      <c r="BY60" s="68">
        <v>0.5</v>
      </c>
      <c r="BZ60" s="31"/>
      <c r="CA60" s="12"/>
      <c r="CB60" s="12"/>
      <c r="CC60" s="12"/>
      <c r="CD60" s="15">
        <v>0.5</v>
      </c>
      <c r="CE60" s="15"/>
      <c r="CF60" s="15"/>
      <c r="CG60" s="61">
        <f t="shared" si="5"/>
        <v>0</v>
      </c>
      <c r="CH60" s="66">
        <f t="shared" si="47"/>
        <v>0</v>
      </c>
      <c r="CI60" s="12">
        <f t="shared" si="47"/>
        <v>0</v>
      </c>
      <c r="CJ60" s="12">
        <f t="shared" si="47"/>
        <v>0</v>
      </c>
      <c r="CK60" s="12">
        <f t="shared" si="47"/>
        <v>0</v>
      </c>
      <c r="CL60" s="12">
        <f t="shared" si="47"/>
        <v>25000</v>
      </c>
      <c r="CM60" s="12">
        <f t="shared" si="47"/>
        <v>0</v>
      </c>
      <c r="CN60" s="16">
        <f t="shared" si="47"/>
        <v>0</v>
      </c>
      <c r="CO60" s="59">
        <f t="shared" si="193"/>
        <v>0</v>
      </c>
      <c r="CP60" s="69">
        <v>25000</v>
      </c>
      <c r="CQ60" s="68">
        <v>0.5</v>
      </c>
      <c r="CR60" s="12"/>
      <c r="CS60" s="12"/>
      <c r="CT60" s="12"/>
      <c r="CU60" s="12"/>
      <c r="CV60" s="15">
        <v>0.5</v>
      </c>
      <c r="CW60" s="15"/>
      <c r="CX60" s="15"/>
      <c r="CY60" s="61">
        <f t="shared" si="7"/>
        <v>0</v>
      </c>
      <c r="CZ60" s="66">
        <f t="shared" si="194"/>
        <v>0</v>
      </c>
      <c r="DA60" s="12">
        <f t="shared" si="194"/>
        <v>0</v>
      </c>
      <c r="DB60" s="12">
        <f t="shared" si="194"/>
        <v>0</v>
      </c>
      <c r="DC60" s="12">
        <f t="shared" si="194"/>
        <v>0</v>
      </c>
      <c r="DD60" s="12">
        <f t="shared" si="194"/>
        <v>25000</v>
      </c>
      <c r="DE60" s="12">
        <f t="shared" si="194"/>
        <v>0</v>
      </c>
      <c r="DF60" s="16">
        <f t="shared" si="194"/>
        <v>0</v>
      </c>
      <c r="DG60" s="59">
        <f t="shared" si="195"/>
        <v>0</v>
      </c>
      <c r="DH60" s="69">
        <v>25000</v>
      </c>
      <c r="DI60" s="68">
        <v>0.5</v>
      </c>
      <c r="DJ60" s="12"/>
      <c r="DK60" s="12"/>
      <c r="DL60" s="12"/>
      <c r="DM60" s="12"/>
      <c r="DN60" s="15">
        <v>0.5</v>
      </c>
      <c r="DO60" s="15"/>
      <c r="DP60" s="15"/>
      <c r="DQ60" s="61">
        <f t="shared" si="9"/>
        <v>0</v>
      </c>
      <c r="DR60" s="66">
        <f t="shared" si="48"/>
        <v>0</v>
      </c>
      <c r="DS60" s="12">
        <f t="shared" si="48"/>
        <v>0</v>
      </c>
      <c r="DT60" s="12">
        <f t="shared" si="48"/>
        <v>0</v>
      </c>
      <c r="DU60" s="12">
        <f t="shared" si="48"/>
        <v>0</v>
      </c>
      <c r="DV60" s="12">
        <f t="shared" si="48"/>
        <v>25000</v>
      </c>
      <c r="DW60" s="12">
        <f t="shared" si="48"/>
        <v>0</v>
      </c>
      <c r="DX60" s="16">
        <f t="shared" si="48"/>
        <v>0</v>
      </c>
      <c r="DY60" s="59">
        <f t="shared" si="196"/>
        <v>0</v>
      </c>
      <c r="DZ60" s="69">
        <v>25000</v>
      </c>
      <c r="EA60" s="68">
        <v>0.5</v>
      </c>
      <c r="EB60" s="12"/>
      <c r="EC60" s="12"/>
      <c r="ED60" s="12"/>
      <c r="EE60" s="15"/>
      <c r="EF60" s="15"/>
      <c r="EG60" s="15">
        <v>0.5</v>
      </c>
      <c r="EH60" s="61">
        <f t="shared" si="197"/>
        <v>0</v>
      </c>
      <c r="EI60" s="66">
        <f t="shared" si="275"/>
        <v>0</v>
      </c>
      <c r="EJ60" s="12">
        <f t="shared" si="275"/>
        <v>0</v>
      </c>
      <c r="EK60" s="12">
        <f t="shared" si="275"/>
        <v>0</v>
      </c>
      <c r="EL60" s="12">
        <f t="shared" si="275"/>
        <v>0</v>
      </c>
      <c r="EM60" s="12">
        <f t="shared" si="275"/>
        <v>0</v>
      </c>
      <c r="EN60" s="16">
        <f t="shared" si="275"/>
        <v>25000</v>
      </c>
      <c r="EO60" s="59">
        <f t="shared" si="198"/>
        <v>0</v>
      </c>
      <c r="EP60" s="69">
        <v>25000</v>
      </c>
      <c r="EQ60" s="68">
        <v>0.5</v>
      </c>
      <c r="ER60" s="12"/>
      <c r="ES60" s="12"/>
      <c r="ET60" s="15"/>
      <c r="EU60" s="15">
        <v>0.5</v>
      </c>
      <c r="EV60" s="61">
        <f t="shared" si="199"/>
        <v>0</v>
      </c>
      <c r="EW60" s="66">
        <f t="shared" si="49"/>
        <v>0</v>
      </c>
      <c r="EX60" s="12">
        <f t="shared" si="49"/>
        <v>0</v>
      </c>
      <c r="EY60" s="12">
        <f t="shared" si="49"/>
        <v>0</v>
      </c>
      <c r="EZ60" s="16">
        <f t="shared" si="49"/>
        <v>25000</v>
      </c>
      <c r="FA60" s="59">
        <f t="shared" si="200"/>
        <v>0</v>
      </c>
      <c r="FB60" s="69">
        <v>25000</v>
      </c>
      <c r="FC60" s="68">
        <v>0.5</v>
      </c>
      <c r="FD60" s="12"/>
      <c r="FE60" s="15"/>
      <c r="FF60" s="15">
        <v>0.5</v>
      </c>
      <c r="FG60" s="61">
        <f t="shared" si="201"/>
        <v>0</v>
      </c>
      <c r="FH60" s="66">
        <f t="shared" si="50"/>
        <v>0</v>
      </c>
      <c r="FI60" s="12">
        <f t="shared" si="50"/>
        <v>0</v>
      </c>
      <c r="FJ60" s="16">
        <f t="shared" si="50"/>
        <v>25000</v>
      </c>
      <c r="FK60" s="59">
        <f t="shared" si="202"/>
        <v>0</v>
      </c>
      <c r="FL60" s="69">
        <v>25000</v>
      </c>
      <c r="FM60" s="68">
        <v>0.5</v>
      </c>
      <c r="FN60" s="12"/>
      <c r="FO60" s="15"/>
      <c r="FP60" s="15"/>
      <c r="FQ60" s="15"/>
      <c r="FR60" s="15">
        <v>0.5</v>
      </c>
      <c r="FS60" s="61">
        <f t="shared" si="203"/>
        <v>0</v>
      </c>
      <c r="FT60" s="66">
        <f t="shared" si="296"/>
        <v>0</v>
      </c>
      <c r="FU60" s="12">
        <f t="shared" si="297"/>
        <v>0</v>
      </c>
      <c r="FV60" s="12">
        <f t="shared" si="206"/>
        <v>0</v>
      </c>
      <c r="FW60" s="12">
        <f t="shared" si="207"/>
        <v>0</v>
      </c>
      <c r="FX60" s="16">
        <f t="shared" si="51"/>
        <v>25000</v>
      </c>
      <c r="FY60" s="59">
        <f t="shared" si="52"/>
        <v>0</v>
      </c>
      <c r="FZ60" s="69">
        <v>25000</v>
      </c>
      <c r="GA60" s="68">
        <v>0.5</v>
      </c>
      <c r="GB60" s="12"/>
      <c r="GC60" s="15"/>
      <c r="GD60" s="15"/>
      <c r="GE60" s="15">
        <v>0.5</v>
      </c>
      <c r="GF60" s="61">
        <f t="shared" si="208"/>
        <v>0</v>
      </c>
      <c r="GG60" s="66">
        <f t="shared" si="53"/>
        <v>0</v>
      </c>
      <c r="GH60" s="66">
        <f>IF($GA60&lt;&gt;0,GB60*$FZ60/$GA60,0)</f>
        <v>0</v>
      </c>
      <c r="GI60" s="12">
        <f t="shared" si="289"/>
        <v>0</v>
      </c>
      <c r="GJ60" s="12">
        <f t="shared" si="179"/>
        <v>0</v>
      </c>
      <c r="GK60" s="31">
        <f t="shared" si="290"/>
        <v>0</v>
      </c>
      <c r="GL60" s="123">
        <f t="shared" si="291"/>
        <v>25000</v>
      </c>
      <c r="GM60" s="410">
        <f t="shared" si="16"/>
        <v>0</v>
      </c>
      <c r="GN60" s="414">
        <v>25000</v>
      </c>
      <c r="GO60" s="68">
        <v>0.5</v>
      </c>
      <c r="GP60" s="12"/>
      <c r="GQ60" s="15"/>
      <c r="GR60" s="15"/>
      <c r="GS60" s="15">
        <v>0.5</v>
      </c>
      <c r="GT60" s="15"/>
      <c r="GU60" s="61">
        <f t="shared" si="54"/>
        <v>0</v>
      </c>
      <c r="GV60" s="66">
        <f t="shared" si="17"/>
        <v>0</v>
      </c>
      <c r="GW60" s="12">
        <f t="shared" si="18"/>
        <v>0</v>
      </c>
      <c r="GX60" s="12">
        <f t="shared" si="19"/>
        <v>0</v>
      </c>
      <c r="GY60" s="12">
        <f t="shared" si="20"/>
        <v>25000</v>
      </c>
      <c r="GZ60" s="16">
        <f t="shared" si="21"/>
        <v>0</v>
      </c>
      <c r="HA60" s="59">
        <f t="shared" si="55"/>
        <v>0</v>
      </c>
      <c r="HB60" s="69">
        <v>30000</v>
      </c>
      <c r="HC60" s="68">
        <v>0.5</v>
      </c>
      <c r="HD60" s="12"/>
      <c r="HE60" s="15"/>
      <c r="HF60" s="15"/>
      <c r="HG60" s="15">
        <v>0.5</v>
      </c>
      <c r="HH60" s="15"/>
      <c r="HI60" s="15"/>
      <c r="HJ60" s="15"/>
      <c r="HK60" s="15"/>
      <c r="HL60" s="61">
        <f t="shared" si="56"/>
        <v>0</v>
      </c>
      <c r="HM60" s="66">
        <f t="shared" si="22"/>
        <v>0</v>
      </c>
      <c r="HN60" s="12">
        <f t="shared" si="23"/>
        <v>0</v>
      </c>
      <c r="HO60" s="12">
        <f t="shared" si="24"/>
        <v>0</v>
      </c>
      <c r="HP60" s="12">
        <f t="shared" si="25"/>
        <v>30000</v>
      </c>
      <c r="HQ60" s="12">
        <f t="shared" si="26"/>
        <v>0</v>
      </c>
      <c r="HR60" s="12">
        <f t="shared" si="27"/>
        <v>0</v>
      </c>
      <c r="HS60" s="12">
        <f t="shared" si="28"/>
        <v>0</v>
      </c>
      <c r="HT60" s="16">
        <f t="shared" si="29"/>
        <v>0</v>
      </c>
      <c r="HU60" s="59">
        <f t="shared" si="57"/>
        <v>0</v>
      </c>
      <c r="HV60" s="69">
        <v>25000</v>
      </c>
      <c r="HW60" s="68">
        <v>0.5</v>
      </c>
      <c r="HX60" s="12"/>
      <c r="HY60" s="15"/>
      <c r="HZ60" s="61">
        <f t="shared" si="58"/>
        <v>0.5</v>
      </c>
      <c r="IA60" s="66">
        <f t="shared" si="59"/>
        <v>0</v>
      </c>
      <c r="IB60" s="16">
        <f t="shared" si="59"/>
        <v>0</v>
      </c>
      <c r="IC60" s="59">
        <f t="shared" si="60"/>
        <v>25000</v>
      </c>
      <c r="ID60" s="129">
        <f>1428.57+24242.4</f>
        <v>25670.97</v>
      </c>
      <c r="IE60" s="68">
        <v>0.5</v>
      </c>
      <c r="IF60" s="12"/>
      <c r="IG60" s="15"/>
      <c r="IH60" s="15"/>
      <c r="II60" s="15">
        <v>0.5</v>
      </c>
      <c r="IJ60" s="15"/>
      <c r="IK60" s="15"/>
      <c r="IL60" s="15"/>
      <c r="IM60" s="15"/>
      <c r="IN60" s="15"/>
      <c r="IO60" s="61">
        <f t="shared" si="61"/>
        <v>0</v>
      </c>
      <c r="IP60" s="66">
        <f t="shared" si="62"/>
        <v>0</v>
      </c>
      <c r="IQ60" s="12">
        <f t="shared" si="63"/>
        <v>0</v>
      </c>
      <c r="IR60" s="12">
        <f t="shared" si="64"/>
        <v>0</v>
      </c>
      <c r="IS60" s="12">
        <f t="shared" si="65"/>
        <v>25670.97</v>
      </c>
      <c r="IT60" s="12">
        <f t="shared" si="66"/>
        <v>0</v>
      </c>
      <c r="IU60" s="12">
        <f t="shared" si="67"/>
        <v>0</v>
      </c>
      <c r="IV60" s="12">
        <f t="shared" si="68"/>
        <v>0</v>
      </c>
      <c r="IW60" s="15">
        <f t="shared" si="69"/>
        <v>0</v>
      </c>
      <c r="IX60" s="16">
        <f t="shared" si="69"/>
        <v>0</v>
      </c>
      <c r="IY60" s="59">
        <f t="shared" si="70"/>
        <v>0</v>
      </c>
      <c r="IZ60" s="129">
        <v>30000</v>
      </c>
      <c r="JA60" s="68">
        <v>0.5</v>
      </c>
      <c r="JB60" s="12"/>
      <c r="JC60" s="15"/>
      <c r="JD60" s="15"/>
      <c r="JE60" s="15">
        <v>0.5</v>
      </c>
      <c r="JF60" s="15"/>
      <c r="JG60" s="15"/>
      <c r="JH60" s="15"/>
      <c r="JI60" s="15"/>
      <c r="JJ60" s="15"/>
      <c r="JK60" s="61">
        <f t="shared" si="295"/>
        <v>0</v>
      </c>
      <c r="JL60" s="66">
        <f t="shared" si="72"/>
        <v>0</v>
      </c>
      <c r="JM60" s="12">
        <f t="shared" si="276"/>
        <v>0</v>
      </c>
      <c r="JN60" s="12">
        <f t="shared" si="277"/>
        <v>0</v>
      </c>
      <c r="JO60" s="12">
        <f t="shared" si="278"/>
        <v>30000</v>
      </c>
      <c r="JP60" s="12">
        <f t="shared" si="279"/>
        <v>0</v>
      </c>
      <c r="JQ60" s="12">
        <f t="shared" si="280"/>
        <v>0</v>
      </c>
      <c r="JR60" s="12">
        <f t="shared" si="281"/>
        <v>0</v>
      </c>
      <c r="JS60" s="12">
        <f t="shared" si="282"/>
        <v>0</v>
      </c>
      <c r="JT60" s="16">
        <f t="shared" si="283"/>
        <v>0</v>
      </c>
      <c r="JU60" s="59">
        <f t="shared" si="81"/>
        <v>0</v>
      </c>
      <c r="JV60" s="129">
        <v>30000</v>
      </c>
      <c r="JW60" s="68">
        <v>0.5</v>
      </c>
      <c r="JX60" s="12"/>
      <c r="JY60" s="12"/>
      <c r="JZ60" s="15"/>
      <c r="KA60" s="15">
        <v>0.5</v>
      </c>
      <c r="KB60" s="15"/>
      <c r="KC60" s="15"/>
      <c r="KD60" s="15"/>
      <c r="KE60" s="15"/>
      <c r="KF60" s="15"/>
      <c r="KG60" s="61">
        <f t="shared" si="82"/>
        <v>0</v>
      </c>
      <c r="KH60" s="146">
        <f t="shared" si="83"/>
        <v>0</v>
      </c>
      <c r="KI60" s="12">
        <f t="shared" si="83"/>
        <v>0</v>
      </c>
      <c r="KJ60" s="12">
        <f t="shared" si="84"/>
        <v>0</v>
      </c>
      <c r="KK60" s="12">
        <f t="shared" si="85"/>
        <v>30000</v>
      </c>
      <c r="KL60" s="12">
        <f t="shared" si="86"/>
        <v>0</v>
      </c>
      <c r="KM60" s="12">
        <f t="shared" si="87"/>
        <v>0</v>
      </c>
      <c r="KN60" s="12">
        <f t="shared" si="88"/>
        <v>0</v>
      </c>
      <c r="KO60" s="12">
        <f t="shared" si="89"/>
        <v>0</v>
      </c>
      <c r="KP60" s="16">
        <f t="shared" si="90"/>
        <v>0</v>
      </c>
      <c r="KQ60" s="59">
        <f t="shared" si="91"/>
        <v>0</v>
      </c>
      <c r="KR60" s="129">
        <v>30000</v>
      </c>
      <c r="KS60" s="68">
        <v>0.5</v>
      </c>
      <c r="KT60" s="12"/>
      <c r="KU60" s="15"/>
      <c r="KV60" s="15">
        <v>0.5</v>
      </c>
      <c r="KW60" s="15"/>
      <c r="KX60" s="15"/>
      <c r="KY60" s="15"/>
      <c r="KZ60" s="15"/>
      <c r="LA60" s="15"/>
      <c r="LB60" s="61">
        <f t="shared" si="92"/>
        <v>0</v>
      </c>
      <c r="LC60" s="66">
        <f t="shared" si="93"/>
        <v>0</v>
      </c>
      <c r="LD60" s="12">
        <f t="shared" si="94"/>
        <v>0</v>
      </c>
      <c r="LE60" s="12">
        <f t="shared" si="95"/>
        <v>30000</v>
      </c>
      <c r="LF60" s="12">
        <f t="shared" si="96"/>
        <v>0</v>
      </c>
      <c r="LG60" s="12">
        <f t="shared" si="97"/>
        <v>0</v>
      </c>
      <c r="LH60" s="12">
        <f t="shared" si="98"/>
        <v>0</v>
      </c>
      <c r="LI60" s="12">
        <f t="shared" si="99"/>
        <v>0</v>
      </c>
      <c r="LJ60" s="16">
        <f t="shared" si="100"/>
        <v>0</v>
      </c>
      <c r="LK60" s="59">
        <f t="shared" si="101"/>
        <v>0</v>
      </c>
      <c r="LL60" s="129">
        <v>30000</v>
      </c>
      <c r="LM60" s="68">
        <v>0.5</v>
      </c>
      <c r="LN60" s="15"/>
      <c r="LO60" s="15">
        <v>0.25</v>
      </c>
      <c r="LP60" s="15"/>
      <c r="LQ60" s="15">
        <v>0.25</v>
      </c>
      <c r="LR60" s="15"/>
      <c r="LS60" s="15"/>
      <c r="LT60" s="15"/>
      <c r="LU60" s="61">
        <f t="shared" si="102"/>
        <v>0</v>
      </c>
      <c r="LV60" s="66">
        <f t="shared" si="103"/>
        <v>0</v>
      </c>
      <c r="LW60" s="12">
        <f t="shared" si="104"/>
        <v>15000</v>
      </c>
      <c r="LX60" s="12">
        <f t="shared" si="105"/>
        <v>0</v>
      </c>
      <c r="LY60" s="12">
        <f t="shared" si="106"/>
        <v>15000</v>
      </c>
      <c r="LZ60" s="12">
        <f t="shared" si="107"/>
        <v>0</v>
      </c>
      <c r="MA60" s="12">
        <f t="shared" si="108"/>
        <v>0</v>
      </c>
      <c r="MB60" s="16">
        <f t="shared" si="109"/>
        <v>0</v>
      </c>
      <c r="MC60" s="59">
        <f t="shared" si="110"/>
        <v>0</v>
      </c>
      <c r="MD60" s="129">
        <v>30000</v>
      </c>
      <c r="ME60" s="68">
        <v>0.5</v>
      </c>
      <c r="MF60" s="15"/>
      <c r="MG60" s="15"/>
      <c r="MH60" s="15">
        <v>0.5</v>
      </c>
      <c r="MI60" s="15"/>
      <c r="MJ60" s="15"/>
      <c r="MK60" s="15"/>
      <c r="ML60" s="15"/>
      <c r="MM60" s="61">
        <f t="shared" si="111"/>
        <v>0</v>
      </c>
      <c r="MN60" s="66">
        <f t="shared" si="112"/>
        <v>0</v>
      </c>
      <c r="MO60" s="12">
        <f t="shared" si="113"/>
        <v>0</v>
      </c>
      <c r="MP60" s="12">
        <f t="shared" si="114"/>
        <v>30000</v>
      </c>
      <c r="MQ60" s="12">
        <f t="shared" si="115"/>
        <v>0</v>
      </c>
      <c r="MR60" s="12">
        <f t="shared" si="116"/>
        <v>0</v>
      </c>
      <c r="MS60" s="12">
        <f t="shared" si="116"/>
        <v>0</v>
      </c>
      <c r="MT60" s="16">
        <f t="shared" si="117"/>
        <v>0</v>
      </c>
      <c r="MU60" s="59">
        <f t="shared" si="189"/>
        <v>0</v>
      </c>
      <c r="MV60" s="617">
        <v>30000</v>
      </c>
      <c r="MW60" s="619">
        <v>0.5</v>
      </c>
      <c r="MX60" s="15"/>
      <c r="MY60" s="15"/>
      <c r="MZ60" s="15">
        <v>0.5</v>
      </c>
      <c r="NA60" s="15"/>
      <c r="NB60" s="15"/>
      <c r="NC60" s="15"/>
      <c r="ND60" s="15"/>
      <c r="NE60" s="61">
        <f t="shared" si="118"/>
        <v>0</v>
      </c>
      <c r="NF60" s="66">
        <f t="shared" si="119"/>
        <v>0</v>
      </c>
      <c r="NG60" s="12">
        <f t="shared" si="120"/>
        <v>0</v>
      </c>
      <c r="NH60" s="12">
        <f t="shared" si="121"/>
        <v>30000</v>
      </c>
      <c r="NI60" s="12">
        <f t="shared" si="122"/>
        <v>0</v>
      </c>
      <c r="NJ60" s="12">
        <f t="shared" si="123"/>
        <v>0</v>
      </c>
      <c r="NK60" s="12">
        <f t="shared" si="123"/>
        <v>0</v>
      </c>
      <c r="NL60" s="16">
        <f t="shared" si="124"/>
        <v>0</v>
      </c>
      <c r="NM60" s="59">
        <f t="shared" si="125"/>
        <v>0</v>
      </c>
      <c r="NN60" s="617">
        <v>30000</v>
      </c>
      <c r="NO60" s="619">
        <v>0.5</v>
      </c>
      <c r="NP60" s="15"/>
      <c r="NQ60" s="15">
        <v>0.5</v>
      </c>
      <c r="NR60" s="15"/>
      <c r="NS60" s="15"/>
      <c r="NT60" s="15"/>
      <c r="NU60" s="61">
        <f t="shared" si="126"/>
        <v>0</v>
      </c>
      <c r="NV60" s="66">
        <f t="shared" si="190"/>
        <v>0</v>
      </c>
      <c r="NW60" s="12">
        <f t="shared" si="209"/>
        <v>30000</v>
      </c>
      <c r="NX60" s="12">
        <f t="shared" si="210"/>
        <v>0</v>
      </c>
      <c r="NY60" s="12">
        <f t="shared" si="211"/>
        <v>0</v>
      </c>
      <c r="NZ60" s="16">
        <f t="shared" si="212"/>
        <v>0</v>
      </c>
      <c r="OA60" s="59">
        <f t="shared" si="131"/>
        <v>0</v>
      </c>
      <c r="OB60" s="131">
        <v>30000</v>
      </c>
      <c r="OC60" s="133">
        <v>0.5</v>
      </c>
      <c r="OD60" s="15"/>
      <c r="OE60" s="15">
        <v>0.5</v>
      </c>
      <c r="OF60" s="15"/>
      <c r="OG60" s="15"/>
      <c r="OH60" s="15"/>
      <c r="OI60" s="61">
        <f t="shared" si="163"/>
        <v>0</v>
      </c>
      <c r="OJ60" s="66">
        <f t="shared" si="132"/>
        <v>0</v>
      </c>
      <c r="OK60" s="12">
        <f t="shared" si="133"/>
        <v>30000</v>
      </c>
      <c r="OL60" s="12">
        <f t="shared" si="134"/>
        <v>0</v>
      </c>
      <c r="OM60" s="12">
        <f t="shared" si="135"/>
        <v>0</v>
      </c>
      <c r="ON60" s="16">
        <f t="shared" si="136"/>
        <v>0</v>
      </c>
      <c r="OO60" s="59">
        <f t="shared" si="137"/>
        <v>0</v>
      </c>
      <c r="OP60" s="131">
        <v>30000</v>
      </c>
      <c r="OQ60" s="133">
        <v>0.5</v>
      </c>
      <c r="OR60" s="15"/>
      <c r="OS60" s="15"/>
      <c r="OT60" s="15"/>
      <c r="OU60" s="15"/>
      <c r="OV60" s="15"/>
      <c r="OW60" s="61">
        <f t="shared" si="138"/>
        <v>0.5</v>
      </c>
      <c r="OX60" s="66">
        <f t="shared" si="139"/>
        <v>0</v>
      </c>
      <c r="OY60" s="12">
        <f t="shared" si="140"/>
        <v>0</v>
      </c>
      <c r="OZ60" s="12">
        <f t="shared" si="141"/>
        <v>0</v>
      </c>
      <c r="PA60" s="12">
        <f t="shared" si="142"/>
        <v>0</v>
      </c>
      <c r="PB60" s="16">
        <f t="shared" si="143"/>
        <v>0</v>
      </c>
      <c r="PC60" s="59">
        <f t="shared" si="144"/>
        <v>30000</v>
      </c>
      <c r="PD60" s="131">
        <v>30000</v>
      </c>
      <c r="PE60" s="133">
        <v>0.5</v>
      </c>
      <c r="PF60" s="15"/>
      <c r="PG60" s="15"/>
      <c r="PH60" s="15"/>
      <c r="PI60" s="15"/>
      <c r="PJ60" s="15"/>
      <c r="PK60" s="61">
        <f t="shared" si="145"/>
        <v>0.5</v>
      </c>
      <c r="PL60" s="66">
        <f t="shared" si="174"/>
        <v>0</v>
      </c>
      <c r="PM60" s="12">
        <f t="shared" si="175"/>
        <v>0</v>
      </c>
      <c r="PN60" s="12">
        <f t="shared" si="176"/>
        <v>0</v>
      </c>
      <c r="PO60" s="12">
        <f t="shared" si="177"/>
        <v>0</v>
      </c>
      <c r="PP60" s="16">
        <f t="shared" si="178"/>
        <v>0</v>
      </c>
      <c r="PQ60" s="59">
        <f t="shared" si="150"/>
        <v>30000</v>
      </c>
      <c r="PS60" s="884">
        <f t="shared" si="151"/>
        <v>0</v>
      </c>
    </row>
    <row r="61" spans="2:435" x14ac:dyDescent="0.2">
      <c r="B61" s="24">
        <v>48</v>
      </c>
      <c r="C61" s="25" t="s">
        <v>67</v>
      </c>
      <c r="D61" s="26"/>
      <c r="E61" s="42"/>
      <c r="F61" s="31"/>
      <c r="G61" s="12"/>
      <c r="H61" s="12"/>
      <c r="I61" s="12"/>
      <c r="J61" s="12"/>
      <c r="K61" s="12"/>
      <c r="L61" s="15"/>
      <c r="M61" s="61">
        <f t="shared" si="41"/>
        <v>0</v>
      </c>
      <c r="N61" s="31">
        <f t="shared" si="308"/>
        <v>0</v>
      </c>
      <c r="O61" s="12">
        <f t="shared" si="308"/>
        <v>0</v>
      </c>
      <c r="P61" s="12">
        <f t="shared" si="308"/>
        <v>0</v>
      </c>
      <c r="Q61" s="12">
        <f t="shared" si="308"/>
        <v>0</v>
      </c>
      <c r="R61" s="12">
        <f t="shared" si="308"/>
        <v>0</v>
      </c>
      <c r="S61" s="12">
        <f t="shared" si="308"/>
        <v>0</v>
      </c>
      <c r="T61" s="15">
        <f t="shared" si="308"/>
        <v>0</v>
      </c>
      <c r="U61" s="59">
        <f t="shared" si="191"/>
        <v>0</v>
      </c>
      <c r="V61" s="26">
        <v>11842.11</v>
      </c>
      <c r="W61" s="42">
        <v>0.28999999999999998</v>
      </c>
      <c r="X61" s="31"/>
      <c r="Y61" s="12"/>
      <c r="Z61" s="12"/>
      <c r="AA61" s="12"/>
      <c r="AB61" s="12"/>
      <c r="AC61" s="12"/>
      <c r="AD61" s="15"/>
      <c r="AE61" s="15">
        <v>0.25</v>
      </c>
      <c r="AF61" s="61">
        <f t="shared" si="42"/>
        <v>0.04</v>
      </c>
      <c r="AG61" s="35">
        <f t="shared" si="43"/>
        <v>0</v>
      </c>
      <c r="AH61" s="35">
        <f t="shared" si="43"/>
        <v>0</v>
      </c>
      <c r="AI61" s="35">
        <f t="shared" si="43"/>
        <v>0</v>
      </c>
      <c r="AJ61" s="35">
        <f t="shared" si="43"/>
        <v>0</v>
      </c>
      <c r="AK61" s="35">
        <f t="shared" si="43"/>
        <v>0</v>
      </c>
      <c r="AL61" s="35">
        <f t="shared" si="43"/>
        <v>0</v>
      </c>
      <c r="AM61" s="35">
        <f t="shared" si="43"/>
        <v>0</v>
      </c>
      <c r="AN61" s="35">
        <f t="shared" si="43"/>
        <v>10208.719999999999</v>
      </c>
      <c r="AO61" s="62">
        <f t="shared" si="44"/>
        <v>1633.39</v>
      </c>
      <c r="AP61" s="26">
        <v>45000</v>
      </c>
      <c r="AQ61" s="42">
        <v>1</v>
      </c>
      <c r="AR61" s="12"/>
      <c r="AS61" s="12"/>
      <c r="AT61" s="12">
        <v>0.21</v>
      </c>
      <c r="AU61" s="12"/>
      <c r="AV61" s="15"/>
      <c r="AW61" s="15">
        <v>0.75</v>
      </c>
      <c r="AX61" s="61">
        <f t="shared" si="45"/>
        <v>0.04</v>
      </c>
      <c r="AY61" s="35">
        <f t="shared" si="273"/>
        <v>0</v>
      </c>
      <c r="AZ61" s="35">
        <f t="shared" si="273"/>
        <v>0</v>
      </c>
      <c r="BA61" s="35">
        <f t="shared" si="273"/>
        <v>9450</v>
      </c>
      <c r="BB61" s="35">
        <f t="shared" si="273"/>
        <v>0</v>
      </c>
      <c r="BC61" s="35">
        <f t="shared" si="273"/>
        <v>0</v>
      </c>
      <c r="BD61" s="34">
        <f t="shared" si="273"/>
        <v>33750</v>
      </c>
      <c r="BE61" s="59">
        <f t="shared" si="46"/>
        <v>1800</v>
      </c>
      <c r="BF61" s="26">
        <f>49500*BG61</f>
        <v>49500</v>
      </c>
      <c r="BG61" s="42">
        <v>1</v>
      </c>
      <c r="BH61" s="12"/>
      <c r="BI61" s="12">
        <v>0.5</v>
      </c>
      <c r="BJ61" s="12"/>
      <c r="BK61" s="12"/>
      <c r="BL61" s="15"/>
      <c r="BM61" s="15"/>
      <c r="BN61" s="15">
        <v>0.5</v>
      </c>
      <c r="BO61" s="61">
        <f t="shared" si="3"/>
        <v>0</v>
      </c>
      <c r="BP61" s="65">
        <f t="shared" si="274"/>
        <v>0</v>
      </c>
      <c r="BQ61" s="33">
        <f t="shared" si="274"/>
        <v>24750</v>
      </c>
      <c r="BR61" s="33">
        <f t="shared" si="274"/>
        <v>0</v>
      </c>
      <c r="BS61" s="33">
        <f t="shared" si="274"/>
        <v>0</v>
      </c>
      <c r="BT61" s="33">
        <f t="shared" si="274"/>
        <v>0</v>
      </c>
      <c r="BU61" s="33">
        <f t="shared" si="274"/>
        <v>0</v>
      </c>
      <c r="BV61" s="34">
        <f t="shared" si="274"/>
        <v>24750</v>
      </c>
      <c r="BW61" s="59">
        <f t="shared" si="192"/>
        <v>0</v>
      </c>
      <c r="BX61" s="69">
        <v>49500</v>
      </c>
      <c r="BY61" s="68">
        <v>1</v>
      </c>
      <c r="BZ61" s="31"/>
      <c r="CA61" s="12">
        <v>0.5</v>
      </c>
      <c r="CB61" s="12"/>
      <c r="CC61" s="12"/>
      <c r="CD61" s="15"/>
      <c r="CE61" s="15"/>
      <c r="CF61" s="15">
        <v>0.5</v>
      </c>
      <c r="CG61" s="61">
        <f>BY61-BZ61-CA61-CB61-CC61-CD61-CE61-CF61</f>
        <v>0</v>
      </c>
      <c r="CH61" s="66">
        <f t="shared" si="47"/>
        <v>0</v>
      </c>
      <c r="CI61" s="12">
        <f t="shared" si="47"/>
        <v>24750</v>
      </c>
      <c r="CJ61" s="12">
        <f t="shared" si="47"/>
        <v>0</v>
      </c>
      <c r="CK61" s="12">
        <f t="shared" si="47"/>
        <v>0</v>
      </c>
      <c r="CL61" s="12">
        <f t="shared" si="47"/>
        <v>0</v>
      </c>
      <c r="CM61" s="12">
        <f t="shared" si="47"/>
        <v>0</v>
      </c>
      <c r="CN61" s="16">
        <f t="shared" si="47"/>
        <v>24750</v>
      </c>
      <c r="CO61" s="59">
        <f t="shared" si="193"/>
        <v>0</v>
      </c>
      <c r="CP61" s="69">
        <v>49500</v>
      </c>
      <c r="CQ61" s="68">
        <v>1</v>
      </c>
      <c r="CR61" s="12"/>
      <c r="CS61" s="12">
        <v>0.5</v>
      </c>
      <c r="CT61" s="12"/>
      <c r="CU61" s="12"/>
      <c r="CV61" s="15"/>
      <c r="CW61" s="15"/>
      <c r="CX61" s="15">
        <v>0.5</v>
      </c>
      <c r="CY61" s="61">
        <f t="shared" si="7"/>
        <v>0</v>
      </c>
      <c r="CZ61" s="66">
        <f t="shared" si="194"/>
        <v>0</v>
      </c>
      <c r="DA61" s="12">
        <f t="shared" si="194"/>
        <v>24750</v>
      </c>
      <c r="DB61" s="12">
        <f t="shared" si="194"/>
        <v>0</v>
      </c>
      <c r="DC61" s="12">
        <f t="shared" si="194"/>
        <v>0</v>
      </c>
      <c r="DD61" s="12">
        <f t="shared" si="194"/>
        <v>0</v>
      </c>
      <c r="DE61" s="12">
        <f t="shared" si="194"/>
        <v>0</v>
      </c>
      <c r="DF61" s="16">
        <f t="shared" si="194"/>
        <v>24750</v>
      </c>
      <c r="DG61" s="59">
        <f t="shared" si="195"/>
        <v>0</v>
      </c>
      <c r="DH61" s="69">
        <v>49500</v>
      </c>
      <c r="DI61" s="68">
        <v>1</v>
      </c>
      <c r="DJ61" s="12"/>
      <c r="DK61" s="12">
        <v>0.5</v>
      </c>
      <c r="DL61" s="12"/>
      <c r="DM61" s="12"/>
      <c r="DN61" s="15"/>
      <c r="DO61" s="15"/>
      <c r="DP61" s="15">
        <v>0.5</v>
      </c>
      <c r="DQ61" s="61">
        <f t="shared" si="9"/>
        <v>0</v>
      </c>
      <c r="DR61" s="66">
        <f t="shared" si="48"/>
        <v>0</v>
      </c>
      <c r="DS61" s="12">
        <f t="shared" si="48"/>
        <v>24750</v>
      </c>
      <c r="DT61" s="12">
        <f t="shared" si="48"/>
        <v>0</v>
      </c>
      <c r="DU61" s="12">
        <f t="shared" si="48"/>
        <v>0</v>
      </c>
      <c r="DV61" s="12">
        <f t="shared" si="48"/>
        <v>0</v>
      </c>
      <c r="DW61" s="12">
        <f t="shared" si="48"/>
        <v>0</v>
      </c>
      <c r="DX61" s="16">
        <f t="shared" si="48"/>
        <v>24750</v>
      </c>
      <c r="DY61" s="59">
        <f t="shared" si="196"/>
        <v>0</v>
      </c>
      <c r="DZ61" s="69">
        <v>49500</v>
      </c>
      <c r="EA61" s="68">
        <v>1</v>
      </c>
      <c r="EB61" s="12">
        <v>0.5</v>
      </c>
      <c r="EC61" s="12">
        <v>0.5</v>
      </c>
      <c r="ED61" s="12"/>
      <c r="EE61" s="15"/>
      <c r="EF61" s="15"/>
      <c r="EG61" s="15"/>
      <c r="EH61" s="61">
        <f t="shared" si="197"/>
        <v>0</v>
      </c>
      <c r="EI61" s="66">
        <f t="shared" si="275"/>
        <v>24750</v>
      </c>
      <c r="EJ61" s="12">
        <f t="shared" si="275"/>
        <v>24750</v>
      </c>
      <c r="EK61" s="12">
        <f t="shared" si="275"/>
        <v>0</v>
      </c>
      <c r="EL61" s="12">
        <f t="shared" si="275"/>
        <v>0</v>
      </c>
      <c r="EM61" s="12">
        <f t="shared" si="275"/>
        <v>0</v>
      </c>
      <c r="EN61" s="16">
        <f t="shared" si="275"/>
        <v>0</v>
      </c>
      <c r="EO61" s="59">
        <f t="shared" si="198"/>
        <v>0</v>
      </c>
      <c r="EP61" s="69">
        <v>49500</v>
      </c>
      <c r="EQ61" s="68">
        <v>1</v>
      </c>
      <c r="ER61" s="12">
        <v>0.5</v>
      </c>
      <c r="ES61" s="12">
        <v>0.2</v>
      </c>
      <c r="ET61" s="15">
        <v>0.3</v>
      </c>
      <c r="EU61" s="15"/>
      <c r="EV61" s="61">
        <f t="shared" si="199"/>
        <v>0</v>
      </c>
      <c r="EW61" s="66">
        <f t="shared" si="49"/>
        <v>24750</v>
      </c>
      <c r="EX61" s="12">
        <f t="shared" si="49"/>
        <v>9900</v>
      </c>
      <c r="EY61" s="12">
        <f t="shared" si="49"/>
        <v>14850</v>
      </c>
      <c r="EZ61" s="16">
        <f t="shared" si="49"/>
        <v>0</v>
      </c>
      <c r="FA61" s="59">
        <f t="shared" si="200"/>
        <v>0</v>
      </c>
      <c r="FB61" s="69">
        <v>49500</v>
      </c>
      <c r="FC61" s="68">
        <v>1</v>
      </c>
      <c r="FD61" s="12"/>
      <c r="FE61" s="15"/>
      <c r="FF61" s="15">
        <v>1</v>
      </c>
      <c r="FG61" s="61">
        <f t="shared" si="201"/>
        <v>0</v>
      </c>
      <c r="FH61" s="66">
        <f t="shared" si="50"/>
        <v>0</v>
      </c>
      <c r="FI61" s="12">
        <f t="shared" si="50"/>
        <v>0</v>
      </c>
      <c r="FJ61" s="16">
        <f t="shared" si="50"/>
        <v>49500</v>
      </c>
      <c r="FK61" s="59">
        <f t="shared" si="202"/>
        <v>0</v>
      </c>
      <c r="FL61" s="69">
        <v>49500</v>
      </c>
      <c r="FM61" s="68">
        <v>1</v>
      </c>
      <c r="FN61" s="12">
        <v>0.5</v>
      </c>
      <c r="FO61" s="15"/>
      <c r="FP61" s="15"/>
      <c r="FQ61" s="15"/>
      <c r="FR61" s="15">
        <v>0.5</v>
      </c>
      <c r="FS61" s="61">
        <f t="shared" si="203"/>
        <v>0</v>
      </c>
      <c r="FT61" s="66">
        <f t="shared" si="296"/>
        <v>24750</v>
      </c>
      <c r="FU61" s="12">
        <f t="shared" si="297"/>
        <v>0</v>
      </c>
      <c r="FV61" s="12">
        <f t="shared" si="206"/>
        <v>0</v>
      </c>
      <c r="FW61" s="12">
        <f t="shared" si="207"/>
        <v>0</v>
      </c>
      <c r="FX61" s="16">
        <f t="shared" si="51"/>
        <v>24750</v>
      </c>
      <c r="FY61" s="59">
        <f t="shared" si="52"/>
        <v>0</v>
      </c>
      <c r="FZ61" s="69">
        <f>38249.73+9952.56+150000+1658.76</f>
        <v>199861.05</v>
      </c>
      <c r="GA61" s="68">
        <v>1</v>
      </c>
      <c r="GB61" s="12">
        <v>1</v>
      </c>
      <c r="GC61" s="15"/>
      <c r="GD61" s="15"/>
      <c r="GE61" s="15"/>
      <c r="GF61" s="61">
        <f t="shared" si="208"/>
        <v>0</v>
      </c>
      <c r="GG61" s="66">
        <f t="shared" si="53"/>
        <v>199861.05</v>
      </c>
      <c r="GH61" s="120">
        <f>IF($GA61&lt;&gt;0,GB61*(49500)/$GA61,0)</f>
        <v>49500</v>
      </c>
      <c r="GI61" s="12">
        <f t="shared" si="289"/>
        <v>0</v>
      </c>
      <c r="GJ61" s="12">
        <f t="shared" si="179"/>
        <v>0</v>
      </c>
      <c r="GK61" s="31">
        <f t="shared" si="290"/>
        <v>0</v>
      </c>
      <c r="GL61" s="123">
        <f t="shared" si="291"/>
        <v>0</v>
      </c>
      <c r="GM61" s="410">
        <f t="shared" si="16"/>
        <v>0</v>
      </c>
      <c r="GN61" s="414">
        <f>42187.25+4219+2000</f>
        <v>48406.25</v>
      </c>
      <c r="GO61" s="68">
        <v>1</v>
      </c>
      <c r="GP61" s="12">
        <v>0.5</v>
      </c>
      <c r="GQ61" s="15">
        <v>0.5</v>
      </c>
      <c r="GR61" s="15"/>
      <c r="GS61" s="15"/>
      <c r="GT61" s="15"/>
      <c r="GU61" s="61">
        <f t="shared" si="54"/>
        <v>0</v>
      </c>
      <c r="GV61" s="66">
        <f t="shared" si="17"/>
        <v>24203.13</v>
      </c>
      <c r="GW61" s="12">
        <f t="shared" si="18"/>
        <v>24203.13</v>
      </c>
      <c r="GX61" s="12">
        <f t="shared" si="19"/>
        <v>0</v>
      </c>
      <c r="GY61" s="12">
        <f t="shared" si="20"/>
        <v>0</v>
      </c>
      <c r="GZ61" s="16">
        <f t="shared" si="21"/>
        <v>0</v>
      </c>
      <c r="HA61" s="59">
        <f t="shared" si="55"/>
        <v>-0.01</v>
      </c>
      <c r="HB61" s="69">
        <f>45000*1.2*1.1</f>
        <v>59400</v>
      </c>
      <c r="HC61" s="68">
        <v>1</v>
      </c>
      <c r="HD61" s="12">
        <v>0.3</v>
      </c>
      <c r="HE61" s="15">
        <v>0.5</v>
      </c>
      <c r="HF61" s="15"/>
      <c r="HG61" s="15"/>
      <c r="HH61" s="15"/>
      <c r="HI61" s="15"/>
      <c r="HJ61" s="15">
        <v>0.2</v>
      </c>
      <c r="HK61" s="15"/>
      <c r="HL61" s="61">
        <f t="shared" si="56"/>
        <v>0</v>
      </c>
      <c r="HM61" s="66">
        <f t="shared" si="22"/>
        <v>17820</v>
      </c>
      <c r="HN61" s="12">
        <f t="shared" si="23"/>
        <v>29700</v>
      </c>
      <c r="HO61" s="12">
        <f t="shared" si="24"/>
        <v>0</v>
      </c>
      <c r="HP61" s="12">
        <f t="shared" si="25"/>
        <v>0</v>
      </c>
      <c r="HQ61" s="12">
        <f t="shared" si="26"/>
        <v>0</v>
      </c>
      <c r="HR61" s="12">
        <f t="shared" si="27"/>
        <v>0</v>
      </c>
      <c r="HS61" s="12">
        <f t="shared" si="28"/>
        <v>11880</v>
      </c>
      <c r="HT61" s="16">
        <f t="shared" si="29"/>
        <v>0</v>
      </c>
      <c r="HU61" s="59">
        <f t="shared" si="57"/>
        <v>0</v>
      </c>
      <c r="HV61" s="69">
        <v>49500</v>
      </c>
      <c r="HW61" s="68">
        <v>1</v>
      </c>
      <c r="HX61" s="12"/>
      <c r="HY61" s="15"/>
      <c r="HZ61" s="61">
        <f t="shared" si="58"/>
        <v>1</v>
      </c>
      <c r="IA61" s="66">
        <f t="shared" si="59"/>
        <v>0</v>
      </c>
      <c r="IB61" s="16">
        <f t="shared" si="59"/>
        <v>0</v>
      </c>
      <c r="IC61" s="59">
        <f t="shared" si="60"/>
        <v>49500</v>
      </c>
      <c r="ID61" s="69">
        <f>45000*1.2*1.1</f>
        <v>59400</v>
      </c>
      <c r="IE61" s="68">
        <v>1</v>
      </c>
      <c r="IF61" s="12">
        <v>0.3</v>
      </c>
      <c r="IG61" s="15">
        <v>0.5</v>
      </c>
      <c r="IH61" s="15"/>
      <c r="II61" s="15"/>
      <c r="IJ61" s="15"/>
      <c r="IK61" s="15">
        <v>0.1</v>
      </c>
      <c r="IL61" s="15"/>
      <c r="IM61" s="15">
        <v>0.1</v>
      </c>
      <c r="IN61" s="15"/>
      <c r="IO61" s="61">
        <f t="shared" si="61"/>
        <v>0</v>
      </c>
      <c r="IP61" s="66">
        <f t="shared" si="62"/>
        <v>17820</v>
      </c>
      <c r="IQ61" s="12">
        <f t="shared" si="63"/>
        <v>29700</v>
      </c>
      <c r="IR61" s="12">
        <f t="shared" si="64"/>
        <v>0</v>
      </c>
      <c r="IS61" s="12">
        <f t="shared" si="65"/>
        <v>0</v>
      </c>
      <c r="IT61" s="12">
        <f t="shared" si="66"/>
        <v>0</v>
      </c>
      <c r="IU61" s="12">
        <f t="shared" si="67"/>
        <v>5940</v>
      </c>
      <c r="IV61" s="12">
        <f t="shared" si="68"/>
        <v>0</v>
      </c>
      <c r="IW61" s="15">
        <f t="shared" si="69"/>
        <v>5940</v>
      </c>
      <c r="IX61" s="16">
        <f t="shared" si="69"/>
        <v>0</v>
      </c>
      <c r="IY61" s="59">
        <f t="shared" si="70"/>
        <v>0</v>
      </c>
      <c r="IZ61" s="69">
        <f>45000*1.2*1.1</f>
        <v>59400</v>
      </c>
      <c r="JA61" s="68">
        <v>1</v>
      </c>
      <c r="JB61" s="12">
        <v>0.5</v>
      </c>
      <c r="JC61" s="15">
        <v>0.5</v>
      </c>
      <c r="JD61" s="15"/>
      <c r="JE61" s="15"/>
      <c r="JF61" s="15"/>
      <c r="JG61" s="15"/>
      <c r="JH61" s="15"/>
      <c r="JI61" s="15"/>
      <c r="JJ61" s="15"/>
      <c r="JK61" s="61">
        <f t="shared" si="295"/>
        <v>0</v>
      </c>
      <c r="JL61" s="66">
        <f t="shared" si="72"/>
        <v>29700</v>
      </c>
      <c r="JM61" s="12">
        <f t="shared" si="276"/>
        <v>29700</v>
      </c>
      <c r="JN61" s="12">
        <f t="shared" si="277"/>
        <v>0</v>
      </c>
      <c r="JO61" s="12">
        <f t="shared" si="278"/>
        <v>0</v>
      </c>
      <c r="JP61" s="12">
        <f t="shared" si="279"/>
        <v>0</v>
      </c>
      <c r="JQ61" s="12">
        <f t="shared" si="280"/>
        <v>0</v>
      </c>
      <c r="JR61" s="12">
        <f t="shared" si="281"/>
        <v>0</v>
      </c>
      <c r="JS61" s="12">
        <f t="shared" si="282"/>
        <v>0</v>
      </c>
      <c r="JT61" s="16">
        <f t="shared" si="283"/>
        <v>0</v>
      </c>
      <c r="JU61" s="59">
        <f t="shared" si="81"/>
        <v>0</v>
      </c>
      <c r="JV61" s="69">
        <f>45000*1.2*1.1</f>
        <v>59400</v>
      </c>
      <c r="JW61" s="68">
        <v>1</v>
      </c>
      <c r="JX61" s="12">
        <v>0.5</v>
      </c>
      <c r="JY61" s="12">
        <v>0.5</v>
      </c>
      <c r="JZ61" s="15"/>
      <c r="KA61" s="15"/>
      <c r="KB61" s="15"/>
      <c r="KC61" s="15"/>
      <c r="KD61" s="15"/>
      <c r="KE61" s="15"/>
      <c r="KF61" s="15"/>
      <c r="KG61" s="61">
        <f t="shared" si="82"/>
        <v>0</v>
      </c>
      <c r="KH61" s="146">
        <f t="shared" si="83"/>
        <v>29700</v>
      </c>
      <c r="KI61" s="12">
        <f t="shared" si="83"/>
        <v>29700</v>
      </c>
      <c r="KJ61" s="12">
        <f t="shared" si="84"/>
        <v>0</v>
      </c>
      <c r="KK61" s="12">
        <f t="shared" si="85"/>
        <v>0</v>
      </c>
      <c r="KL61" s="12">
        <f t="shared" si="86"/>
        <v>0</v>
      </c>
      <c r="KM61" s="12">
        <f t="shared" si="87"/>
        <v>0</v>
      </c>
      <c r="KN61" s="12">
        <f t="shared" si="88"/>
        <v>0</v>
      </c>
      <c r="KO61" s="12">
        <f t="shared" si="89"/>
        <v>0</v>
      </c>
      <c r="KP61" s="16">
        <f t="shared" si="90"/>
        <v>0</v>
      </c>
      <c r="KQ61" s="59">
        <f t="shared" si="91"/>
        <v>0</v>
      </c>
      <c r="KR61" s="69">
        <f>45000*1.2*1.1</f>
        <v>59400</v>
      </c>
      <c r="KS61" s="68">
        <v>1</v>
      </c>
      <c r="KT61" s="12">
        <v>0.5</v>
      </c>
      <c r="KU61" s="15"/>
      <c r="KV61" s="15"/>
      <c r="KW61" s="15"/>
      <c r="KX61" s="15">
        <v>0.5</v>
      </c>
      <c r="KY61" s="15"/>
      <c r="KZ61" s="15"/>
      <c r="LA61" s="15"/>
      <c r="LB61" s="61">
        <f t="shared" si="92"/>
        <v>0</v>
      </c>
      <c r="LC61" s="66">
        <f t="shared" si="93"/>
        <v>29700</v>
      </c>
      <c r="LD61" s="12">
        <f t="shared" si="94"/>
        <v>0</v>
      </c>
      <c r="LE61" s="12">
        <f t="shared" si="95"/>
        <v>0</v>
      </c>
      <c r="LF61" s="12">
        <f t="shared" si="96"/>
        <v>0</v>
      </c>
      <c r="LG61" s="12">
        <f t="shared" si="97"/>
        <v>29700</v>
      </c>
      <c r="LH61" s="12">
        <f t="shared" si="98"/>
        <v>0</v>
      </c>
      <c r="LI61" s="12">
        <f t="shared" si="99"/>
        <v>0</v>
      </c>
      <c r="LJ61" s="16">
        <f t="shared" si="100"/>
        <v>0</v>
      </c>
      <c r="LK61" s="59">
        <f t="shared" si="101"/>
        <v>0</v>
      </c>
      <c r="LL61" s="69">
        <f>45000*1.2*1.1</f>
        <v>59400</v>
      </c>
      <c r="LM61" s="68">
        <v>1</v>
      </c>
      <c r="LN61" s="15"/>
      <c r="LO61" s="15"/>
      <c r="LP61" s="15"/>
      <c r="LQ61" s="15">
        <v>0.5</v>
      </c>
      <c r="LR61" s="15"/>
      <c r="LS61" s="15">
        <v>0.5</v>
      </c>
      <c r="LT61" s="15"/>
      <c r="LU61" s="61">
        <f t="shared" si="102"/>
        <v>0</v>
      </c>
      <c r="LV61" s="66">
        <f t="shared" si="103"/>
        <v>0</v>
      </c>
      <c r="LW61" s="12">
        <f t="shared" si="104"/>
        <v>0</v>
      </c>
      <c r="LX61" s="12">
        <f t="shared" si="105"/>
        <v>0</v>
      </c>
      <c r="LY61" s="12">
        <f t="shared" si="106"/>
        <v>29700</v>
      </c>
      <c r="LZ61" s="12">
        <f t="shared" si="107"/>
        <v>0</v>
      </c>
      <c r="MA61" s="12">
        <f t="shared" si="108"/>
        <v>29700</v>
      </c>
      <c r="MB61" s="16">
        <f t="shared" si="109"/>
        <v>0</v>
      </c>
      <c r="MC61" s="59">
        <f t="shared" si="110"/>
        <v>0</v>
      </c>
      <c r="MD61" s="69">
        <f>45000*1.2*1.1</f>
        <v>59400</v>
      </c>
      <c r="ME61" s="68">
        <v>1</v>
      </c>
      <c r="MF61" s="15"/>
      <c r="MG61" s="15">
        <v>0.5</v>
      </c>
      <c r="MH61" s="15">
        <v>0.5</v>
      </c>
      <c r="MI61" s="15"/>
      <c r="MJ61" s="15"/>
      <c r="MK61" s="15"/>
      <c r="ML61" s="15"/>
      <c r="MM61" s="61">
        <f t="shared" si="111"/>
        <v>0</v>
      </c>
      <c r="MN61" s="66">
        <f t="shared" si="112"/>
        <v>0</v>
      </c>
      <c r="MO61" s="12">
        <f t="shared" si="113"/>
        <v>29700</v>
      </c>
      <c r="MP61" s="12">
        <f t="shared" si="114"/>
        <v>29700</v>
      </c>
      <c r="MQ61" s="12">
        <f t="shared" si="115"/>
        <v>0</v>
      </c>
      <c r="MR61" s="12">
        <f t="shared" si="116"/>
        <v>0</v>
      </c>
      <c r="MS61" s="12">
        <f t="shared" si="116"/>
        <v>0</v>
      </c>
      <c r="MT61" s="16">
        <f t="shared" si="117"/>
        <v>0</v>
      </c>
      <c r="MU61" s="59">
        <f t="shared" si="189"/>
        <v>0</v>
      </c>
      <c r="MV61" s="620">
        <f>45000*1.2*1.1</f>
        <v>59400</v>
      </c>
      <c r="MW61" s="619">
        <v>1</v>
      </c>
      <c r="MX61" s="15"/>
      <c r="MY61" s="15">
        <v>0.5</v>
      </c>
      <c r="MZ61" s="15">
        <v>0.5</v>
      </c>
      <c r="NA61" s="15"/>
      <c r="NB61" s="15"/>
      <c r="NC61" s="15"/>
      <c r="ND61" s="15"/>
      <c r="NE61" s="61">
        <f t="shared" si="118"/>
        <v>0</v>
      </c>
      <c r="NF61" s="66">
        <f t="shared" si="119"/>
        <v>0</v>
      </c>
      <c r="NG61" s="12">
        <f t="shared" si="120"/>
        <v>29700</v>
      </c>
      <c r="NH61" s="12">
        <f t="shared" si="121"/>
        <v>29700</v>
      </c>
      <c r="NI61" s="12">
        <f t="shared" si="122"/>
        <v>0</v>
      </c>
      <c r="NJ61" s="12">
        <f t="shared" si="123"/>
        <v>0</v>
      </c>
      <c r="NK61" s="12">
        <f t="shared" si="123"/>
        <v>0</v>
      </c>
      <c r="NL61" s="16">
        <f t="shared" si="124"/>
        <v>0</v>
      </c>
      <c r="NM61" s="59">
        <f t="shared" si="125"/>
        <v>0</v>
      </c>
      <c r="NN61" s="620">
        <v>67045.95</v>
      </c>
      <c r="NO61" s="619">
        <v>1</v>
      </c>
      <c r="NP61" s="15"/>
      <c r="NQ61" s="15"/>
      <c r="NR61" s="15"/>
      <c r="NS61" s="15"/>
      <c r="NT61" s="15"/>
      <c r="NU61" s="61">
        <f t="shared" si="126"/>
        <v>1</v>
      </c>
      <c r="NV61" s="66">
        <f t="shared" si="190"/>
        <v>0</v>
      </c>
      <c r="NW61" s="626">
        <f>IF($NO61&lt;&gt;0,NQ61*$NN61/$NO61,0)</f>
        <v>0</v>
      </c>
      <c r="NX61" s="12">
        <f t="shared" si="210"/>
        <v>0</v>
      </c>
      <c r="NY61" s="12">
        <f t="shared" si="211"/>
        <v>0</v>
      </c>
      <c r="NZ61" s="16">
        <f t="shared" si="212"/>
        <v>0</v>
      </c>
      <c r="OA61" s="59">
        <f t="shared" si="131"/>
        <v>67045.95</v>
      </c>
      <c r="OB61" s="134">
        <f>45000*1.2*1.1</f>
        <v>59400</v>
      </c>
      <c r="OC61" s="133">
        <v>1</v>
      </c>
      <c r="OD61" s="15"/>
      <c r="OE61" s="15"/>
      <c r="OF61" s="15"/>
      <c r="OG61" s="15"/>
      <c r="OH61" s="15"/>
      <c r="OI61" s="61">
        <f t="shared" si="163"/>
        <v>1</v>
      </c>
      <c r="OJ61" s="66">
        <f t="shared" si="132"/>
        <v>0</v>
      </c>
      <c r="OK61" s="12">
        <f t="shared" si="133"/>
        <v>0</v>
      </c>
      <c r="OL61" s="12">
        <f t="shared" si="134"/>
        <v>0</v>
      </c>
      <c r="OM61" s="12">
        <f t="shared" si="135"/>
        <v>0</v>
      </c>
      <c r="ON61" s="16">
        <f t="shared" si="136"/>
        <v>0</v>
      </c>
      <c r="OO61" s="59">
        <f t="shared" si="137"/>
        <v>59400</v>
      </c>
      <c r="OP61" s="134">
        <f>45000*1.2*1.1</f>
        <v>59400</v>
      </c>
      <c r="OQ61" s="133">
        <v>1</v>
      </c>
      <c r="OR61" s="15"/>
      <c r="OS61" s="15"/>
      <c r="OT61" s="15"/>
      <c r="OU61" s="15"/>
      <c r="OV61" s="15"/>
      <c r="OW61" s="61">
        <f t="shared" si="138"/>
        <v>1</v>
      </c>
      <c r="OX61" s="66">
        <f t="shared" si="139"/>
        <v>0</v>
      </c>
      <c r="OY61" s="12">
        <f t="shared" si="140"/>
        <v>0</v>
      </c>
      <c r="OZ61" s="12">
        <f t="shared" si="141"/>
        <v>0</v>
      </c>
      <c r="PA61" s="12">
        <f t="shared" si="142"/>
        <v>0</v>
      </c>
      <c r="PB61" s="16">
        <f t="shared" si="143"/>
        <v>0</v>
      </c>
      <c r="PC61" s="59">
        <f t="shared" si="144"/>
        <v>59400</v>
      </c>
      <c r="PD61" s="134">
        <f>45000*1.2*1.1</f>
        <v>59400</v>
      </c>
      <c r="PE61" s="133">
        <v>1</v>
      </c>
      <c r="PF61" s="15"/>
      <c r="PG61" s="15"/>
      <c r="PH61" s="15"/>
      <c r="PI61" s="15"/>
      <c r="PJ61" s="15"/>
      <c r="PK61" s="61">
        <f t="shared" si="145"/>
        <v>1</v>
      </c>
      <c r="PL61" s="66">
        <f t="shared" si="174"/>
        <v>0</v>
      </c>
      <c r="PM61" s="12">
        <f t="shared" si="175"/>
        <v>0</v>
      </c>
      <c r="PN61" s="12">
        <f t="shared" si="176"/>
        <v>0</v>
      </c>
      <c r="PO61" s="12">
        <f t="shared" si="177"/>
        <v>0</v>
      </c>
      <c r="PP61" s="16">
        <f t="shared" si="178"/>
        <v>0</v>
      </c>
      <c r="PQ61" s="59">
        <f t="shared" si="150"/>
        <v>59400</v>
      </c>
      <c r="PS61" s="884">
        <f t="shared" si="151"/>
        <v>0</v>
      </c>
    </row>
    <row r="62" spans="2:435" x14ac:dyDescent="0.2">
      <c r="B62" s="24"/>
      <c r="C62" s="137" t="s">
        <v>77</v>
      </c>
      <c r="D62" s="26"/>
      <c r="E62" s="42"/>
      <c r="F62" s="31"/>
      <c r="G62" s="12"/>
      <c r="H62" s="12"/>
      <c r="I62" s="12"/>
      <c r="J62" s="12"/>
      <c r="K62" s="12"/>
      <c r="L62" s="15"/>
      <c r="M62" s="61"/>
      <c r="N62" s="31"/>
      <c r="O62" s="12"/>
      <c r="P62" s="12"/>
      <c r="Q62" s="12"/>
      <c r="R62" s="12"/>
      <c r="S62" s="12"/>
      <c r="T62" s="15"/>
      <c r="U62" s="59"/>
      <c r="V62" s="26"/>
      <c r="W62" s="42"/>
      <c r="X62" s="31"/>
      <c r="Y62" s="12"/>
      <c r="Z62" s="12"/>
      <c r="AA62" s="12"/>
      <c r="AB62" s="12"/>
      <c r="AC62" s="12"/>
      <c r="AD62" s="15"/>
      <c r="AE62" s="15"/>
      <c r="AF62" s="61"/>
      <c r="AG62" s="35"/>
      <c r="AH62" s="35"/>
      <c r="AI62" s="35"/>
      <c r="AJ62" s="35"/>
      <c r="AK62" s="35"/>
      <c r="AL62" s="35"/>
      <c r="AM62" s="35"/>
      <c r="AN62" s="35"/>
      <c r="AO62" s="62"/>
      <c r="AP62" s="26"/>
      <c r="AQ62" s="42"/>
      <c r="AR62" s="12"/>
      <c r="AS62" s="12"/>
      <c r="AT62" s="12"/>
      <c r="AU62" s="12"/>
      <c r="AV62" s="15"/>
      <c r="AW62" s="15"/>
      <c r="AX62" s="61"/>
      <c r="AY62" s="35"/>
      <c r="AZ62" s="35"/>
      <c r="BA62" s="35"/>
      <c r="BB62" s="35"/>
      <c r="BC62" s="35"/>
      <c r="BD62" s="34"/>
      <c r="BE62" s="59"/>
      <c r="BF62" s="26"/>
      <c r="BG62" s="42"/>
      <c r="BH62" s="12"/>
      <c r="BI62" s="12"/>
      <c r="BJ62" s="12"/>
      <c r="BK62" s="12"/>
      <c r="BL62" s="15"/>
      <c r="BM62" s="15"/>
      <c r="BN62" s="15"/>
      <c r="BO62" s="61"/>
      <c r="BP62" s="65"/>
      <c r="BQ62" s="33"/>
      <c r="BR62" s="33"/>
      <c r="BS62" s="33"/>
      <c r="BT62" s="33"/>
      <c r="BU62" s="33"/>
      <c r="BV62" s="34"/>
      <c r="BW62" s="59"/>
      <c r="BX62" s="27"/>
      <c r="BY62" s="68"/>
      <c r="BZ62" s="31"/>
      <c r="CA62" s="12"/>
      <c r="CB62" s="12"/>
      <c r="CC62" s="12"/>
      <c r="CD62" s="15"/>
      <c r="CE62" s="15"/>
      <c r="CF62" s="15"/>
      <c r="CG62" s="61"/>
      <c r="CH62" s="66"/>
      <c r="CI62" s="12"/>
      <c r="CJ62" s="12"/>
      <c r="CK62" s="12"/>
      <c r="CL62" s="12"/>
      <c r="CM62" s="12"/>
      <c r="CN62" s="16"/>
      <c r="CO62" s="59"/>
      <c r="CP62" s="27"/>
      <c r="CQ62" s="68"/>
      <c r="CR62" s="12"/>
      <c r="CS62" s="12"/>
      <c r="CT62" s="12"/>
      <c r="CU62" s="12"/>
      <c r="CV62" s="15"/>
      <c r="CW62" s="15"/>
      <c r="CX62" s="15"/>
      <c r="CY62" s="61"/>
      <c r="CZ62" s="66"/>
      <c r="DA62" s="12"/>
      <c r="DB62" s="12"/>
      <c r="DC62" s="12"/>
      <c r="DD62" s="12"/>
      <c r="DE62" s="12"/>
      <c r="DF62" s="16"/>
      <c r="DG62" s="59"/>
      <c r="DH62" s="27"/>
      <c r="DI62" s="68"/>
      <c r="DJ62" s="12"/>
      <c r="DK62" s="12"/>
      <c r="DL62" s="12"/>
      <c r="DM62" s="12"/>
      <c r="DN62" s="15"/>
      <c r="DO62" s="15"/>
      <c r="DP62" s="15"/>
      <c r="DQ62" s="61"/>
      <c r="DR62" s="66"/>
      <c r="DS62" s="12"/>
      <c r="DT62" s="12"/>
      <c r="DU62" s="12"/>
      <c r="DV62" s="12"/>
      <c r="DW62" s="12"/>
      <c r="DX62" s="16"/>
      <c r="DY62" s="59"/>
      <c r="DZ62" s="27"/>
      <c r="EA62" s="68"/>
      <c r="EB62" s="12"/>
      <c r="EC62" s="12"/>
      <c r="ED62" s="12"/>
      <c r="EE62" s="15"/>
      <c r="EF62" s="15"/>
      <c r="EG62" s="15"/>
      <c r="EH62" s="61"/>
      <c r="EI62" s="66"/>
      <c r="EJ62" s="12"/>
      <c r="EK62" s="12"/>
      <c r="EL62" s="12"/>
      <c r="EM62" s="12"/>
      <c r="EN62" s="16"/>
      <c r="EO62" s="59"/>
      <c r="EP62" s="27"/>
      <c r="EQ62" s="68"/>
      <c r="ER62" s="12"/>
      <c r="ES62" s="12"/>
      <c r="ET62" s="15"/>
      <c r="EU62" s="15"/>
      <c r="EV62" s="61"/>
      <c r="EW62" s="66"/>
      <c r="EX62" s="12"/>
      <c r="EY62" s="12"/>
      <c r="EZ62" s="16"/>
      <c r="FA62" s="59"/>
      <c r="FB62" s="27"/>
      <c r="FC62" s="68"/>
      <c r="FD62" s="12"/>
      <c r="FE62" s="15"/>
      <c r="FF62" s="15"/>
      <c r="FG62" s="61"/>
      <c r="FH62" s="66"/>
      <c r="FI62" s="12"/>
      <c r="FJ62" s="16"/>
      <c r="FK62" s="59"/>
      <c r="FL62" s="27"/>
      <c r="FM62" s="68"/>
      <c r="FN62" s="12"/>
      <c r="FO62" s="15"/>
      <c r="FP62" s="15"/>
      <c r="FQ62" s="15"/>
      <c r="FR62" s="15"/>
      <c r="FS62" s="61">
        <f t="shared" si="203"/>
        <v>0</v>
      </c>
      <c r="FT62" s="66"/>
      <c r="FU62" s="12"/>
      <c r="FV62" s="12">
        <f t="shared" si="206"/>
        <v>0</v>
      </c>
      <c r="FW62" s="12">
        <f t="shared" si="207"/>
        <v>0</v>
      </c>
      <c r="FX62" s="16"/>
      <c r="FY62" s="59">
        <f t="shared" si="52"/>
        <v>0</v>
      </c>
      <c r="FZ62" s="69">
        <v>16363.64</v>
      </c>
      <c r="GA62" s="68">
        <f>25/30</f>
        <v>0.83</v>
      </c>
      <c r="GB62" s="12"/>
      <c r="GC62" s="15">
        <v>0.83</v>
      </c>
      <c r="GD62" s="15"/>
      <c r="GE62" s="15"/>
      <c r="GF62" s="61">
        <f t="shared" si="208"/>
        <v>0</v>
      </c>
      <c r="GG62" s="66">
        <f t="shared" si="53"/>
        <v>0</v>
      </c>
      <c r="GH62" s="66">
        <f>IF($GA62&lt;&gt;0,GB62*$FZ62/$GA62,0)</f>
        <v>0</v>
      </c>
      <c r="GI62" s="12">
        <f t="shared" si="289"/>
        <v>16363.64</v>
      </c>
      <c r="GJ62" s="12">
        <f t="shared" si="179"/>
        <v>16363.64</v>
      </c>
      <c r="GK62" s="31">
        <f t="shared" si="290"/>
        <v>0</v>
      </c>
      <c r="GL62" s="123">
        <f t="shared" si="291"/>
        <v>0</v>
      </c>
      <c r="GM62" s="410">
        <f t="shared" si="16"/>
        <v>0</v>
      </c>
      <c r="GN62" s="414">
        <v>20000</v>
      </c>
      <c r="GO62" s="68">
        <v>1</v>
      </c>
      <c r="GP62" s="12"/>
      <c r="GQ62" s="15">
        <v>1</v>
      </c>
      <c r="GR62" s="15"/>
      <c r="GS62" s="15"/>
      <c r="GT62" s="15"/>
      <c r="GU62" s="61">
        <f t="shared" si="54"/>
        <v>0</v>
      </c>
      <c r="GV62" s="66">
        <f t="shared" si="17"/>
        <v>0</v>
      </c>
      <c r="GW62" s="12">
        <f t="shared" si="18"/>
        <v>20000</v>
      </c>
      <c r="GX62" s="12">
        <f t="shared" si="19"/>
        <v>0</v>
      </c>
      <c r="GY62" s="12">
        <f t="shared" si="20"/>
        <v>0</v>
      </c>
      <c r="GZ62" s="16">
        <f t="shared" si="21"/>
        <v>0</v>
      </c>
      <c r="HA62" s="59">
        <f t="shared" si="55"/>
        <v>0</v>
      </c>
      <c r="HB62" s="69">
        <v>25000</v>
      </c>
      <c r="HC62" s="68">
        <v>1</v>
      </c>
      <c r="HD62" s="12"/>
      <c r="HE62" s="15">
        <v>1</v>
      </c>
      <c r="HF62" s="15"/>
      <c r="HG62" s="15"/>
      <c r="HH62" s="15"/>
      <c r="HI62" s="15"/>
      <c r="HJ62" s="15"/>
      <c r="HK62" s="15"/>
      <c r="HL62" s="61">
        <f t="shared" si="56"/>
        <v>0</v>
      </c>
      <c r="HM62" s="66">
        <f t="shared" si="22"/>
        <v>0</v>
      </c>
      <c r="HN62" s="12">
        <f t="shared" si="23"/>
        <v>25000</v>
      </c>
      <c r="HO62" s="12">
        <f t="shared" si="24"/>
        <v>0</v>
      </c>
      <c r="HP62" s="12">
        <f t="shared" si="25"/>
        <v>0</v>
      </c>
      <c r="HQ62" s="12">
        <f t="shared" si="26"/>
        <v>0</v>
      </c>
      <c r="HR62" s="12">
        <f t="shared" si="27"/>
        <v>0</v>
      </c>
      <c r="HS62" s="12">
        <f t="shared" si="28"/>
        <v>0</v>
      </c>
      <c r="HT62" s="16">
        <f t="shared" si="29"/>
        <v>0</v>
      </c>
      <c r="HU62" s="59">
        <f t="shared" si="57"/>
        <v>0</v>
      </c>
      <c r="HV62" s="69">
        <v>20000</v>
      </c>
      <c r="HW62" s="68">
        <v>1</v>
      </c>
      <c r="HX62" s="12"/>
      <c r="HY62" s="15"/>
      <c r="HZ62" s="61">
        <f t="shared" si="58"/>
        <v>1</v>
      </c>
      <c r="IA62" s="66">
        <f t="shared" si="59"/>
        <v>0</v>
      </c>
      <c r="IB62" s="16">
        <f t="shared" si="59"/>
        <v>0</v>
      </c>
      <c r="IC62" s="59">
        <f t="shared" si="60"/>
        <v>20000</v>
      </c>
      <c r="ID62" s="129">
        <f>3571.43+5205.97</f>
        <v>8777.4</v>
      </c>
      <c r="IE62" s="68">
        <f>5/31</f>
        <v>0.16</v>
      </c>
      <c r="IF62" s="12"/>
      <c r="IG62" s="15"/>
      <c r="IH62" s="15"/>
      <c r="II62" s="15"/>
      <c r="IJ62" s="15"/>
      <c r="IK62" s="15">
        <v>0.15</v>
      </c>
      <c r="IL62" s="15"/>
      <c r="IM62" s="15"/>
      <c r="IN62" s="15"/>
      <c r="IO62" s="61">
        <f t="shared" si="61"/>
        <v>0.01</v>
      </c>
      <c r="IP62" s="66">
        <f t="shared" si="62"/>
        <v>0</v>
      </c>
      <c r="IQ62" s="12">
        <f t="shared" si="63"/>
        <v>0</v>
      </c>
      <c r="IR62" s="12">
        <f t="shared" si="64"/>
        <v>0</v>
      </c>
      <c r="IS62" s="12">
        <f t="shared" si="65"/>
        <v>0</v>
      </c>
      <c r="IT62" s="12">
        <f t="shared" si="66"/>
        <v>0</v>
      </c>
      <c r="IU62" s="12">
        <f t="shared" si="67"/>
        <v>8228.81</v>
      </c>
      <c r="IV62" s="12">
        <f t="shared" si="68"/>
        <v>0</v>
      </c>
      <c r="IW62" s="15">
        <f t="shared" si="69"/>
        <v>0</v>
      </c>
      <c r="IX62" s="16">
        <f t="shared" si="69"/>
        <v>0</v>
      </c>
      <c r="IY62" s="59">
        <f t="shared" si="70"/>
        <v>548.59</v>
      </c>
      <c r="IZ62" s="129"/>
      <c r="JA62" s="68"/>
      <c r="JB62" s="12"/>
      <c r="JC62" s="15"/>
      <c r="JD62" s="15"/>
      <c r="JE62" s="15"/>
      <c r="JF62" s="15"/>
      <c r="JG62" s="15"/>
      <c r="JH62" s="15"/>
      <c r="JI62" s="15"/>
      <c r="JJ62" s="15"/>
      <c r="JK62" s="61">
        <f t="shared" si="295"/>
        <v>0</v>
      </c>
      <c r="JL62" s="66">
        <f t="shared" si="72"/>
        <v>0</v>
      </c>
      <c r="JM62" s="12">
        <f t="shared" si="276"/>
        <v>0</v>
      </c>
      <c r="JN62" s="12">
        <f t="shared" si="277"/>
        <v>0</v>
      </c>
      <c r="JO62" s="12">
        <f t="shared" si="278"/>
        <v>0</v>
      </c>
      <c r="JP62" s="12">
        <f t="shared" si="279"/>
        <v>0</v>
      </c>
      <c r="JQ62" s="12">
        <f t="shared" si="280"/>
        <v>0</v>
      </c>
      <c r="JR62" s="12">
        <f t="shared" si="281"/>
        <v>0</v>
      </c>
      <c r="JS62" s="12">
        <f t="shared" si="282"/>
        <v>0</v>
      </c>
      <c r="JT62" s="16">
        <f t="shared" si="283"/>
        <v>0</v>
      </c>
      <c r="JU62" s="59">
        <f t="shared" si="81"/>
        <v>0</v>
      </c>
      <c r="JV62" s="129"/>
      <c r="JW62" s="68"/>
      <c r="JX62" s="12"/>
      <c r="JY62" s="12"/>
      <c r="JZ62" s="15"/>
      <c r="KA62" s="15"/>
      <c r="KB62" s="15"/>
      <c r="KC62" s="15"/>
      <c r="KD62" s="15"/>
      <c r="KE62" s="15"/>
      <c r="KF62" s="15"/>
      <c r="KG62" s="61">
        <f t="shared" si="82"/>
        <v>0</v>
      </c>
      <c r="KH62" s="146">
        <f t="shared" si="83"/>
        <v>0</v>
      </c>
      <c r="KI62" s="12">
        <f t="shared" si="83"/>
        <v>0</v>
      </c>
      <c r="KJ62" s="12">
        <f t="shared" si="84"/>
        <v>0</v>
      </c>
      <c r="KK62" s="12">
        <f t="shared" si="85"/>
        <v>0</v>
      </c>
      <c r="KL62" s="12">
        <f t="shared" si="86"/>
        <v>0</v>
      </c>
      <c r="KM62" s="12">
        <f t="shared" si="87"/>
        <v>0</v>
      </c>
      <c r="KN62" s="12">
        <f t="shared" si="88"/>
        <v>0</v>
      </c>
      <c r="KO62" s="12">
        <f t="shared" si="89"/>
        <v>0</v>
      </c>
      <c r="KP62" s="16">
        <f t="shared" si="90"/>
        <v>0</v>
      </c>
      <c r="KQ62" s="59">
        <f t="shared" si="91"/>
        <v>0</v>
      </c>
      <c r="KR62" s="129"/>
      <c r="KS62" s="68"/>
      <c r="KT62" s="12"/>
      <c r="KU62" s="15"/>
      <c r="KV62" s="15"/>
      <c r="KW62" s="15"/>
      <c r="KX62" s="15"/>
      <c r="KY62" s="15"/>
      <c r="KZ62" s="15"/>
      <c r="LA62" s="15"/>
      <c r="LB62" s="61">
        <f t="shared" si="92"/>
        <v>0</v>
      </c>
      <c r="LC62" s="66">
        <f t="shared" si="93"/>
        <v>0</v>
      </c>
      <c r="LD62" s="12">
        <f t="shared" si="94"/>
        <v>0</v>
      </c>
      <c r="LE62" s="12">
        <f t="shared" si="95"/>
        <v>0</v>
      </c>
      <c r="LF62" s="12">
        <f t="shared" si="96"/>
        <v>0</v>
      </c>
      <c r="LG62" s="12">
        <f t="shared" si="97"/>
        <v>0</v>
      </c>
      <c r="LH62" s="12">
        <f t="shared" si="98"/>
        <v>0</v>
      </c>
      <c r="LI62" s="12">
        <f t="shared" si="99"/>
        <v>0</v>
      </c>
      <c r="LJ62" s="16">
        <f t="shared" si="100"/>
        <v>0</v>
      </c>
      <c r="LK62" s="59">
        <f t="shared" si="101"/>
        <v>0</v>
      </c>
      <c r="LL62" s="129"/>
      <c r="LM62" s="68"/>
      <c r="LN62" s="15"/>
      <c r="LO62" s="15"/>
      <c r="LP62" s="15"/>
      <c r="LQ62" s="15"/>
      <c r="LR62" s="15"/>
      <c r="LS62" s="15"/>
      <c r="LT62" s="15"/>
      <c r="LU62" s="61">
        <f t="shared" si="102"/>
        <v>0</v>
      </c>
      <c r="LV62" s="66">
        <f t="shared" si="103"/>
        <v>0</v>
      </c>
      <c r="LW62" s="12">
        <f t="shared" si="104"/>
        <v>0</v>
      </c>
      <c r="LX62" s="12">
        <f t="shared" si="105"/>
        <v>0</v>
      </c>
      <c r="LY62" s="12">
        <f t="shared" si="106"/>
        <v>0</v>
      </c>
      <c r="LZ62" s="12">
        <f t="shared" si="107"/>
        <v>0</v>
      </c>
      <c r="MA62" s="12">
        <f t="shared" si="108"/>
        <v>0</v>
      </c>
      <c r="MB62" s="16">
        <f t="shared" si="109"/>
        <v>0</v>
      </c>
      <c r="MC62" s="59">
        <f t="shared" si="110"/>
        <v>0</v>
      </c>
      <c r="MD62" s="129"/>
      <c r="ME62" s="68"/>
      <c r="MF62" s="15"/>
      <c r="MG62" s="15"/>
      <c r="MH62" s="15"/>
      <c r="MI62" s="15"/>
      <c r="MJ62" s="15"/>
      <c r="MK62" s="15"/>
      <c r="ML62" s="15"/>
      <c r="MM62" s="61">
        <f t="shared" si="111"/>
        <v>0</v>
      </c>
      <c r="MN62" s="66">
        <f t="shared" si="112"/>
        <v>0</v>
      </c>
      <c r="MO62" s="12">
        <f t="shared" si="113"/>
        <v>0</v>
      </c>
      <c r="MP62" s="12">
        <f t="shared" si="114"/>
        <v>0</v>
      </c>
      <c r="MQ62" s="12">
        <f t="shared" si="115"/>
        <v>0</v>
      </c>
      <c r="MR62" s="12">
        <f t="shared" si="116"/>
        <v>0</v>
      </c>
      <c r="MS62" s="12">
        <f t="shared" si="116"/>
        <v>0</v>
      </c>
      <c r="MT62" s="16">
        <f t="shared" si="117"/>
        <v>0</v>
      </c>
      <c r="MU62" s="59">
        <f t="shared" si="189"/>
        <v>0</v>
      </c>
      <c r="MV62" s="617"/>
      <c r="MW62" s="619"/>
      <c r="MX62" s="15"/>
      <c r="MY62" s="15"/>
      <c r="MZ62" s="15"/>
      <c r="NA62" s="15"/>
      <c r="NB62" s="15"/>
      <c r="NC62" s="15"/>
      <c r="ND62" s="15"/>
      <c r="NE62" s="61">
        <f t="shared" si="118"/>
        <v>0</v>
      </c>
      <c r="NF62" s="66">
        <f t="shared" si="119"/>
        <v>0</v>
      </c>
      <c r="NG62" s="12">
        <f t="shared" si="120"/>
        <v>0</v>
      </c>
      <c r="NH62" s="12">
        <f t="shared" si="121"/>
        <v>0</v>
      </c>
      <c r="NI62" s="12">
        <f t="shared" si="122"/>
        <v>0</v>
      </c>
      <c r="NJ62" s="12">
        <f t="shared" si="123"/>
        <v>0</v>
      </c>
      <c r="NK62" s="12">
        <f t="shared" si="123"/>
        <v>0</v>
      </c>
      <c r="NL62" s="16">
        <f t="shared" si="124"/>
        <v>0</v>
      </c>
      <c r="NM62" s="59">
        <f t="shared" si="125"/>
        <v>0</v>
      </c>
      <c r="NN62" s="617"/>
      <c r="NO62" s="619"/>
      <c r="NP62" s="15"/>
      <c r="NQ62" s="15"/>
      <c r="NR62" s="15"/>
      <c r="NS62" s="15"/>
      <c r="NT62" s="15"/>
      <c r="NU62" s="61">
        <f t="shared" si="126"/>
        <v>0</v>
      </c>
      <c r="NV62" s="66">
        <f t="shared" si="190"/>
        <v>0</v>
      </c>
      <c r="NW62" s="12">
        <f t="shared" si="209"/>
        <v>0</v>
      </c>
      <c r="NX62" s="12">
        <f t="shared" si="210"/>
        <v>0</v>
      </c>
      <c r="NY62" s="12">
        <f t="shared" si="211"/>
        <v>0</v>
      </c>
      <c r="NZ62" s="16">
        <f t="shared" si="212"/>
        <v>0</v>
      </c>
      <c r="OA62" s="59">
        <f t="shared" si="131"/>
        <v>0</v>
      </c>
      <c r="OB62" s="131"/>
      <c r="OC62" s="133"/>
      <c r="OD62" s="15"/>
      <c r="OE62" s="15"/>
      <c r="OF62" s="15"/>
      <c r="OG62" s="15"/>
      <c r="OH62" s="15"/>
      <c r="OI62" s="61">
        <f t="shared" si="163"/>
        <v>0</v>
      </c>
      <c r="OJ62" s="66">
        <f t="shared" si="132"/>
        <v>0</v>
      </c>
      <c r="OK62" s="12">
        <f t="shared" si="133"/>
        <v>0</v>
      </c>
      <c r="OL62" s="12">
        <f t="shared" si="134"/>
        <v>0</v>
      </c>
      <c r="OM62" s="12">
        <f t="shared" si="135"/>
        <v>0</v>
      </c>
      <c r="ON62" s="16">
        <f t="shared" si="136"/>
        <v>0</v>
      </c>
      <c r="OO62" s="59">
        <f t="shared" si="137"/>
        <v>0</v>
      </c>
      <c r="OP62" s="131"/>
      <c r="OQ62" s="133"/>
      <c r="OR62" s="15"/>
      <c r="OS62" s="15"/>
      <c r="OT62" s="15"/>
      <c r="OU62" s="15"/>
      <c r="OV62" s="15"/>
      <c r="OW62" s="61">
        <f t="shared" si="138"/>
        <v>0</v>
      </c>
      <c r="OX62" s="66">
        <f t="shared" si="139"/>
        <v>0</v>
      </c>
      <c r="OY62" s="12">
        <f t="shared" si="140"/>
        <v>0</v>
      </c>
      <c r="OZ62" s="12">
        <f t="shared" si="141"/>
        <v>0</v>
      </c>
      <c r="PA62" s="12">
        <f t="shared" si="142"/>
        <v>0</v>
      </c>
      <c r="PB62" s="16">
        <f t="shared" si="143"/>
        <v>0</v>
      </c>
      <c r="PC62" s="59">
        <f t="shared" si="144"/>
        <v>0</v>
      </c>
      <c r="PD62" s="131"/>
      <c r="PE62" s="133"/>
      <c r="PF62" s="15"/>
      <c r="PG62" s="15"/>
      <c r="PH62" s="15"/>
      <c r="PI62" s="15"/>
      <c r="PJ62" s="15"/>
      <c r="PK62" s="61">
        <f t="shared" si="145"/>
        <v>0</v>
      </c>
      <c r="PL62" s="66">
        <f t="shared" si="174"/>
        <v>0</v>
      </c>
      <c r="PM62" s="12">
        <f t="shared" si="175"/>
        <v>0</v>
      </c>
      <c r="PN62" s="12">
        <f t="shared" si="176"/>
        <v>0</v>
      </c>
      <c r="PO62" s="12">
        <f t="shared" si="177"/>
        <v>0</v>
      </c>
      <c r="PP62" s="16">
        <f t="shared" si="178"/>
        <v>0</v>
      </c>
      <c r="PQ62" s="59">
        <f t="shared" si="150"/>
        <v>0</v>
      </c>
      <c r="PS62" s="884">
        <f t="shared" si="151"/>
        <v>0</v>
      </c>
    </row>
    <row r="63" spans="2:435" x14ac:dyDescent="0.2">
      <c r="B63" s="24"/>
      <c r="C63" s="137" t="s">
        <v>34</v>
      </c>
      <c r="D63" s="26">
        <v>27000</v>
      </c>
      <c r="E63" s="42">
        <v>1</v>
      </c>
      <c r="F63" s="31">
        <v>1</v>
      </c>
      <c r="G63" s="12"/>
      <c r="H63" s="12"/>
      <c r="I63" s="12"/>
      <c r="J63" s="12"/>
      <c r="K63" s="12"/>
      <c r="L63" s="15"/>
      <c r="M63" s="61">
        <f t="shared" si="41"/>
        <v>0</v>
      </c>
      <c r="N63" s="31">
        <f t="shared" si="308"/>
        <v>27000</v>
      </c>
      <c r="O63" s="12">
        <f t="shared" si="308"/>
        <v>0</v>
      </c>
      <c r="P63" s="12">
        <f t="shared" si="308"/>
        <v>0</v>
      </c>
      <c r="Q63" s="12">
        <f t="shared" si="308"/>
        <v>0</v>
      </c>
      <c r="R63" s="12">
        <f t="shared" si="308"/>
        <v>0</v>
      </c>
      <c r="S63" s="12">
        <f t="shared" si="308"/>
        <v>0</v>
      </c>
      <c r="T63" s="15">
        <f t="shared" si="308"/>
        <v>0</v>
      </c>
      <c r="U63" s="59">
        <f t="shared" si="191"/>
        <v>0</v>
      </c>
      <c r="V63" s="26">
        <v>27000</v>
      </c>
      <c r="W63" s="42">
        <v>1</v>
      </c>
      <c r="X63" s="31">
        <v>1</v>
      </c>
      <c r="Y63" s="12"/>
      <c r="Z63" s="12"/>
      <c r="AA63" s="12"/>
      <c r="AB63" s="12"/>
      <c r="AC63" s="12"/>
      <c r="AD63" s="15"/>
      <c r="AE63" s="15"/>
      <c r="AF63" s="61">
        <f t="shared" si="42"/>
        <v>0</v>
      </c>
      <c r="AG63" s="35">
        <f t="shared" si="43"/>
        <v>27000</v>
      </c>
      <c r="AH63" s="35">
        <f t="shared" si="43"/>
        <v>0</v>
      </c>
      <c r="AI63" s="35">
        <f t="shared" si="43"/>
        <v>0</v>
      </c>
      <c r="AJ63" s="35">
        <f t="shared" si="43"/>
        <v>0</v>
      </c>
      <c r="AK63" s="35">
        <f t="shared" si="43"/>
        <v>0</v>
      </c>
      <c r="AL63" s="35">
        <f t="shared" si="43"/>
        <v>0</v>
      </c>
      <c r="AM63" s="35">
        <f t="shared" si="43"/>
        <v>0</v>
      </c>
      <c r="AN63" s="35">
        <f t="shared" si="43"/>
        <v>0</v>
      </c>
      <c r="AO63" s="62">
        <f t="shared" si="44"/>
        <v>0</v>
      </c>
      <c r="AP63" s="26">
        <v>27246.55</v>
      </c>
      <c r="AQ63" s="42">
        <v>0.57999999999999996</v>
      </c>
      <c r="AR63" s="12"/>
      <c r="AS63" s="12"/>
      <c r="AT63" s="12"/>
      <c r="AU63" s="12"/>
      <c r="AV63" s="15"/>
      <c r="AW63" s="15">
        <v>0.55000000000000004</v>
      </c>
      <c r="AX63" s="61">
        <f t="shared" si="45"/>
        <v>0.03</v>
      </c>
      <c r="AY63" s="35">
        <f t="shared" si="273"/>
        <v>0</v>
      </c>
      <c r="AZ63" s="35">
        <f t="shared" si="273"/>
        <v>0</v>
      </c>
      <c r="BA63" s="35">
        <f t="shared" si="273"/>
        <v>0</v>
      </c>
      <c r="BB63" s="35">
        <f t="shared" si="273"/>
        <v>0</v>
      </c>
      <c r="BC63" s="35">
        <f t="shared" si="273"/>
        <v>0</v>
      </c>
      <c r="BD63" s="34">
        <f t="shared" si="273"/>
        <v>25837.25</v>
      </c>
      <c r="BE63" s="59">
        <f t="shared" si="46"/>
        <v>1409.3</v>
      </c>
      <c r="BF63" s="26"/>
      <c r="BG63" s="42"/>
      <c r="BH63" s="12"/>
      <c r="BI63" s="12"/>
      <c r="BJ63" s="12"/>
      <c r="BK63" s="12"/>
      <c r="BL63" s="15"/>
      <c r="BM63" s="15"/>
      <c r="BN63" s="15"/>
      <c r="BO63" s="61">
        <f t="shared" si="3"/>
        <v>0</v>
      </c>
      <c r="BP63" s="65">
        <f t="shared" si="274"/>
        <v>0</v>
      </c>
      <c r="BQ63" s="33">
        <f t="shared" si="274"/>
        <v>0</v>
      </c>
      <c r="BR63" s="33">
        <f t="shared" si="274"/>
        <v>0</v>
      </c>
      <c r="BS63" s="33">
        <f t="shared" si="274"/>
        <v>0</v>
      </c>
      <c r="BT63" s="33">
        <f t="shared" si="274"/>
        <v>0</v>
      </c>
      <c r="BU63" s="33">
        <f t="shared" si="274"/>
        <v>0</v>
      </c>
      <c r="BV63" s="34">
        <f t="shared" si="274"/>
        <v>0</v>
      </c>
      <c r="BW63" s="59">
        <f t="shared" si="192"/>
        <v>0</v>
      </c>
      <c r="BX63" s="26"/>
      <c r="BY63" s="68"/>
      <c r="BZ63" s="31"/>
      <c r="CA63" s="12"/>
      <c r="CB63" s="12"/>
      <c r="CC63" s="12"/>
      <c r="CD63" s="15"/>
      <c r="CE63" s="15"/>
      <c r="CF63" s="15"/>
      <c r="CG63" s="61">
        <f>BY63-BZ63-CA63-CB63-CC63-CD63-CE63-CF63</f>
        <v>0</v>
      </c>
      <c r="CH63" s="66">
        <f t="shared" si="47"/>
        <v>0</v>
      </c>
      <c r="CI63" s="12">
        <f t="shared" si="47"/>
        <v>0</v>
      </c>
      <c r="CJ63" s="12">
        <f t="shared" si="47"/>
        <v>0</v>
      </c>
      <c r="CK63" s="12">
        <f t="shared" si="47"/>
        <v>0</v>
      </c>
      <c r="CL63" s="12">
        <f t="shared" si="47"/>
        <v>0</v>
      </c>
      <c r="CM63" s="12">
        <f t="shared" si="47"/>
        <v>0</v>
      </c>
      <c r="CN63" s="16">
        <f t="shared" si="47"/>
        <v>0</v>
      </c>
      <c r="CO63" s="59">
        <f t="shared" si="193"/>
        <v>0</v>
      </c>
      <c r="CP63" s="26"/>
      <c r="CQ63" s="68"/>
      <c r="CR63" s="12"/>
      <c r="CS63" s="12"/>
      <c r="CT63" s="12"/>
      <c r="CU63" s="12"/>
      <c r="CV63" s="15"/>
      <c r="CW63" s="15"/>
      <c r="CX63" s="15"/>
      <c r="CY63" s="61">
        <f t="shared" si="7"/>
        <v>0</v>
      </c>
      <c r="CZ63" s="66">
        <f t="shared" si="194"/>
        <v>0</v>
      </c>
      <c r="DA63" s="12">
        <f t="shared" si="194"/>
        <v>0</v>
      </c>
      <c r="DB63" s="12">
        <f t="shared" si="194"/>
        <v>0</v>
      </c>
      <c r="DC63" s="12">
        <f t="shared" si="194"/>
        <v>0</v>
      </c>
      <c r="DD63" s="12">
        <f t="shared" si="194"/>
        <v>0</v>
      </c>
      <c r="DE63" s="12">
        <f t="shared" si="194"/>
        <v>0</v>
      </c>
      <c r="DF63" s="16">
        <f t="shared" si="194"/>
        <v>0</v>
      </c>
      <c r="DG63" s="59">
        <f t="shared" si="195"/>
        <v>0</v>
      </c>
      <c r="DH63" s="26"/>
      <c r="DI63" s="68"/>
      <c r="DJ63" s="12"/>
      <c r="DK63" s="12"/>
      <c r="DL63" s="12"/>
      <c r="DM63" s="12"/>
      <c r="DN63" s="15"/>
      <c r="DO63" s="15"/>
      <c r="DP63" s="15"/>
      <c r="DQ63" s="61">
        <f t="shared" si="9"/>
        <v>0</v>
      </c>
      <c r="DR63" s="66">
        <f t="shared" si="48"/>
        <v>0</v>
      </c>
      <c r="DS63" s="12">
        <f t="shared" si="48"/>
        <v>0</v>
      </c>
      <c r="DT63" s="12">
        <f t="shared" si="48"/>
        <v>0</v>
      </c>
      <c r="DU63" s="12">
        <f t="shared" si="48"/>
        <v>0</v>
      </c>
      <c r="DV63" s="12">
        <f t="shared" si="48"/>
        <v>0</v>
      </c>
      <c r="DW63" s="12">
        <f t="shared" si="48"/>
        <v>0</v>
      </c>
      <c r="DX63" s="16">
        <f t="shared" si="48"/>
        <v>0</v>
      </c>
      <c r="DY63" s="59">
        <f t="shared" si="196"/>
        <v>0</v>
      </c>
      <c r="DZ63" s="26"/>
      <c r="EA63" s="68"/>
      <c r="EB63" s="12"/>
      <c r="EC63" s="12"/>
      <c r="ED63" s="12"/>
      <c r="EE63" s="15"/>
      <c r="EF63" s="15"/>
      <c r="EG63" s="15"/>
      <c r="EH63" s="61">
        <f t="shared" si="197"/>
        <v>0</v>
      </c>
      <c r="EI63" s="66">
        <f t="shared" si="275"/>
        <v>0</v>
      </c>
      <c r="EJ63" s="12">
        <f t="shared" si="275"/>
        <v>0</v>
      </c>
      <c r="EK63" s="12">
        <f t="shared" si="275"/>
        <v>0</v>
      </c>
      <c r="EL63" s="12">
        <f t="shared" si="275"/>
        <v>0</v>
      </c>
      <c r="EM63" s="12">
        <f t="shared" si="275"/>
        <v>0</v>
      </c>
      <c r="EN63" s="16">
        <f t="shared" si="275"/>
        <v>0</v>
      </c>
      <c r="EO63" s="59">
        <f t="shared" si="198"/>
        <v>0</v>
      </c>
      <c r="EP63" s="26"/>
      <c r="EQ63" s="68"/>
      <c r="ER63" s="12"/>
      <c r="ES63" s="12"/>
      <c r="ET63" s="15"/>
      <c r="EU63" s="15"/>
      <c r="EV63" s="61">
        <f t="shared" si="199"/>
        <v>0</v>
      </c>
      <c r="EW63" s="66">
        <f t="shared" si="49"/>
        <v>0</v>
      </c>
      <c r="EX63" s="12">
        <f t="shared" si="49"/>
        <v>0</v>
      </c>
      <c r="EY63" s="12">
        <f t="shared" si="49"/>
        <v>0</v>
      </c>
      <c r="EZ63" s="16">
        <f t="shared" si="49"/>
        <v>0</v>
      </c>
      <c r="FA63" s="59">
        <f t="shared" si="200"/>
        <v>0</v>
      </c>
      <c r="FB63" s="26"/>
      <c r="FC63" s="68"/>
      <c r="FD63" s="12"/>
      <c r="FE63" s="15"/>
      <c r="FF63" s="15"/>
      <c r="FG63" s="61">
        <f t="shared" si="201"/>
        <v>0</v>
      </c>
      <c r="FH63" s="66">
        <f t="shared" si="50"/>
        <v>0</v>
      </c>
      <c r="FI63" s="12">
        <f t="shared" si="50"/>
        <v>0</v>
      </c>
      <c r="FJ63" s="16">
        <f t="shared" si="50"/>
        <v>0</v>
      </c>
      <c r="FK63" s="59">
        <f t="shared" si="202"/>
        <v>0</v>
      </c>
      <c r="FL63" s="26"/>
      <c r="FM63" s="68"/>
      <c r="FN63" s="12"/>
      <c r="FO63" s="15"/>
      <c r="FP63" s="15"/>
      <c r="FQ63" s="15"/>
      <c r="FR63" s="15"/>
      <c r="FS63" s="61">
        <f t="shared" si="203"/>
        <v>0</v>
      </c>
      <c r="FT63" s="66">
        <f t="shared" ref="FT63:FU67" si="309">IF($FM63&lt;&gt;0,FN63*$FL63/$FM63,0)</f>
        <v>0</v>
      </c>
      <c r="FU63" s="12">
        <f t="shared" si="309"/>
        <v>0</v>
      </c>
      <c r="FV63" s="12">
        <f t="shared" si="206"/>
        <v>0</v>
      </c>
      <c r="FW63" s="12">
        <f t="shared" si="207"/>
        <v>0</v>
      </c>
      <c r="FX63" s="16">
        <f t="shared" si="51"/>
        <v>0</v>
      </c>
      <c r="FY63" s="59">
        <f t="shared" si="52"/>
        <v>0</v>
      </c>
      <c r="FZ63" s="26"/>
      <c r="GA63" s="68"/>
      <c r="GB63" s="12"/>
      <c r="GC63" s="15"/>
      <c r="GD63" s="15"/>
      <c r="GE63" s="15"/>
      <c r="GF63" s="61">
        <f t="shared" si="208"/>
        <v>0</v>
      </c>
      <c r="GG63" s="66">
        <f t="shared" si="53"/>
        <v>0</v>
      </c>
      <c r="GH63" s="66">
        <f>IF($GA63&lt;&gt;0,GB63*$FZ63/$GA63,0)</f>
        <v>0</v>
      </c>
      <c r="GI63" s="12">
        <f t="shared" si="289"/>
        <v>0</v>
      </c>
      <c r="GJ63" s="12">
        <f t="shared" si="179"/>
        <v>0</v>
      </c>
      <c r="GK63" s="31">
        <f t="shared" si="290"/>
        <v>0</v>
      </c>
      <c r="GL63" s="123">
        <f t="shared" si="291"/>
        <v>0</v>
      </c>
      <c r="GM63" s="410">
        <f t="shared" si="16"/>
        <v>0</v>
      </c>
      <c r="GN63" s="414"/>
      <c r="GO63" s="68"/>
      <c r="GP63" s="12"/>
      <c r="GQ63" s="15"/>
      <c r="GR63" s="15"/>
      <c r="GS63" s="15"/>
      <c r="GT63" s="15"/>
      <c r="GU63" s="61">
        <f t="shared" si="54"/>
        <v>0</v>
      </c>
      <c r="GV63" s="66">
        <f t="shared" si="17"/>
        <v>0</v>
      </c>
      <c r="GW63" s="12">
        <f t="shared" si="18"/>
        <v>0</v>
      </c>
      <c r="GX63" s="12">
        <f t="shared" si="19"/>
        <v>0</v>
      </c>
      <c r="GY63" s="12">
        <f t="shared" si="20"/>
        <v>0</v>
      </c>
      <c r="GZ63" s="16">
        <f t="shared" si="21"/>
        <v>0</v>
      </c>
      <c r="HA63" s="59">
        <f t="shared" si="55"/>
        <v>0</v>
      </c>
      <c r="HB63" s="26"/>
      <c r="HC63" s="68"/>
      <c r="HD63" s="12"/>
      <c r="HE63" s="15"/>
      <c r="HF63" s="15"/>
      <c r="HG63" s="15"/>
      <c r="HH63" s="15"/>
      <c r="HI63" s="15"/>
      <c r="HJ63" s="15"/>
      <c r="HK63" s="15"/>
      <c r="HL63" s="61">
        <f t="shared" si="56"/>
        <v>0</v>
      </c>
      <c r="HM63" s="66">
        <f t="shared" si="22"/>
        <v>0</v>
      </c>
      <c r="HN63" s="12">
        <f t="shared" si="23"/>
        <v>0</v>
      </c>
      <c r="HO63" s="12">
        <f t="shared" si="24"/>
        <v>0</v>
      </c>
      <c r="HP63" s="12">
        <f t="shared" si="25"/>
        <v>0</v>
      </c>
      <c r="HQ63" s="12">
        <f t="shared" si="26"/>
        <v>0</v>
      </c>
      <c r="HR63" s="12">
        <f t="shared" si="27"/>
        <v>0</v>
      </c>
      <c r="HS63" s="12">
        <f t="shared" si="28"/>
        <v>0</v>
      </c>
      <c r="HT63" s="16">
        <f t="shared" si="29"/>
        <v>0</v>
      </c>
      <c r="HU63" s="59">
        <f t="shared" si="57"/>
        <v>0</v>
      </c>
      <c r="HV63" s="26"/>
      <c r="HW63" s="68"/>
      <c r="HX63" s="12"/>
      <c r="HY63" s="15"/>
      <c r="HZ63" s="61">
        <f t="shared" si="58"/>
        <v>0</v>
      </c>
      <c r="IA63" s="66">
        <f t="shared" si="59"/>
        <v>0</v>
      </c>
      <c r="IB63" s="16">
        <f t="shared" si="59"/>
        <v>0</v>
      </c>
      <c r="IC63" s="59">
        <f t="shared" si="60"/>
        <v>0</v>
      </c>
      <c r="ID63" s="26"/>
      <c r="IE63" s="68"/>
      <c r="IF63" s="12"/>
      <c r="IG63" s="15"/>
      <c r="IH63" s="15"/>
      <c r="II63" s="15"/>
      <c r="IJ63" s="15"/>
      <c r="IK63" s="15"/>
      <c r="IL63" s="15"/>
      <c r="IM63" s="15"/>
      <c r="IN63" s="15"/>
      <c r="IO63" s="61">
        <f t="shared" si="61"/>
        <v>0</v>
      </c>
      <c r="IP63" s="66">
        <f t="shared" si="62"/>
        <v>0</v>
      </c>
      <c r="IQ63" s="12">
        <f t="shared" si="63"/>
        <v>0</v>
      </c>
      <c r="IR63" s="12">
        <f t="shared" si="64"/>
        <v>0</v>
      </c>
      <c r="IS63" s="12">
        <f t="shared" si="65"/>
        <v>0</v>
      </c>
      <c r="IT63" s="12">
        <f t="shared" si="66"/>
        <v>0</v>
      </c>
      <c r="IU63" s="12">
        <f t="shared" si="67"/>
        <v>0</v>
      </c>
      <c r="IV63" s="12">
        <f t="shared" si="68"/>
        <v>0</v>
      </c>
      <c r="IW63" s="15">
        <f t="shared" si="69"/>
        <v>0</v>
      </c>
      <c r="IX63" s="16">
        <f t="shared" si="69"/>
        <v>0</v>
      </c>
      <c r="IY63" s="59">
        <f t="shared" si="70"/>
        <v>0</v>
      </c>
      <c r="IZ63" s="26"/>
      <c r="JA63" s="68"/>
      <c r="JB63" s="12"/>
      <c r="JC63" s="15"/>
      <c r="JD63" s="15"/>
      <c r="JE63" s="15"/>
      <c r="JF63" s="15"/>
      <c r="JG63" s="15"/>
      <c r="JH63" s="15"/>
      <c r="JI63" s="15"/>
      <c r="JJ63" s="15"/>
      <c r="JK63" s="61">
        <f t="shared" si="295"/>
        <v>0</v>
      </c>
      <c r="JL63" s="66">
        <f t="shared" si="72"/>
        <v>0</v>
      </c>
      <c r="JM63" s="12">
        <f t="shared" si="276"/>
        <v>0</v>
      </c>
      <c r="JN63" s="12">
        <f t="shared" si="277"/>
        <v>0</v>
      </c>
      <c r="JO63" s="12">
        <f t="shared" si="278"/>
        <v>0</v>
      </c>
      <c r="JP63" s="12">
        <f t="shared" si="279"/>
        <v>0</v>
      </c>
      <c r="JQ63" s="12">
        <f t="shared" si="280"/>
        <v>0</v>
      </c>
      <c r="JR63" s="12">
        <f t="shared" si="281"/>
        <v>0</v>
      </c>
      <c r="JS63" s="12">
        <f t="shared" si="282"/>
        <v>0</v>
      </c>
      <c r="JT63" s="16">
        <f t="shared" si="283"/>
        <v>0</v>
      </c>
      <c r="JU63" s="59">
        <f t="shared" si="81"/>
        <v>0</v>
      </c>
      <c r="JV63" s="26"/>
      <c r="JW63" s="68"/>
      <c r="JX63" s="12"/>
      <c r="JY63" s="12"/>
      <c r="JZ63" s="15"/>
      <c r="KA63" s="15"/>
      <c r="KB63" s="15"/>
      <c r="KC63" s="15"/>
      <c r="KD63" s="15"/>
      <c r="KE63" s="15"/>
      <c r="KF63" s="15"/>
      <c r="KG63" s="61">
        <f t="shared" si="82"/>
        <v>0</v>
      </c>
      <c r="KH63" s="146">
        <f t="shared" si="83"/>
        <v>0</v>
      </c>
      <c r="KI63" s="12">
        <f t="shared" si="83"/>
        <v>0</v>
      </c>
      <c r="KJ63" s="12">
        <f t="shared" si="84"/>
        <v>0</v>
      </c>
      <c r="KK63" s="12">
        <f t="shared" si="85"/>
        <v>0</v>
      </c>
      <c r="KL63" s="12">
        <f t="shared" si="86"/>
        <v>0</v>
      </c>
      <c r="KM63" s="12">
        <f t="shared" si="87"/>
        <v>0</v>
      </c>
      <c r="KN63" s="12">
        <f t="shared" si="88"/>
        <v>0</v>
      </c>
      <c r="KO63" s="12">
        <f t="shared" si="89"/>
        <v>0</v>
      </c>
      <c r="KP63" s="16">
        <f t="shared" si="90"/>
        <v>0</v>
      </c>
      <c r="KQ63" s="59">
        <f t="shared" si="91"/>
        <v>0</v>
      </c>
      <c r="KR63" s="26"/>
      <c r="KS63" s="68"/>
      <c r="KT63" s="12"/>
      <c r="KU63" s="15"/>
      <c r="KV63" s="15"/>
      <c r="KW63" s="15"/>
      <c r="KX63" s="15"/>
      <c r="KY63" s="15"/>
      <c r="KZ63" s="15"/>
      <c r="LA63" s="15"/>
      <c r="LB63" s="61">
        <f t="shared" si="92"/>
        <v>0</v>
      </c>
      <c r="LC63" s="66">
        <f t="shared" si="93"/>
        <v>0</v>
      </c>
      <c r="LD63" s="12">
        <f t="shared" si="94"/>
        <v>0</v>
      </c>
      <c r="LE63" s="12">
        <f t="shared" si="95"/>
        <v>0</v>
      </c>
      <c r="LF63" s="12">
        <f t="shared" si="96"/>
        <v>0</v>
      </c>
      <c r="LG63" s="12">
        <f t="shared" si="97"/>
        <v>0</v>
      </c>
      <c r="LH63" s="12">
        <f t="shared" si="98"/>
        <v>0</v>
      </c>
      <c r="LI63" s="12">
        <f t="shared" si="99"/>
        <v>0</v>
      </c>
      <c r="LJ63" s="16">
        <f t="shared" si="100"/>
        <v>0</v>
      </c>
      <c r="LK63" s="59">
        <f t="shared" si="101"/>
        <v>0</v>
      </c>
      <c r="LL63" s="26"/>
      <c r="LM63" s="68"/>
      <c r="LN63" s="15"/>
      <c r="LO63" s="15"/>
      <c r="LP63" s="15"/>
      <c r="LQ63" s="15"/>
      <c r="LR63" s="15"/>
      <c r="LS63" s="15"/>
      <c r="LT63" s="15"/>
      <c r="LU63" s="61">
        <f t="shared" si="102"/>
        <v>0</v>
      </c>
      <c r="LV63" s="66">
        <f t="shared" si="103"/>
        <v>0</v>
      </c>
      <c r="LW63" s="12">
        <f t="shared" si="104"/>
        <v>0</v>
      </c>
      <c r="LX63" s="12">
        <f t="shared" si="105"/>
        <v>0</v>
      </c>
      <c r="LY63" s="12">
        <f t="shared" si="106"/>
        <v>0</v>
      </c>
      <c r="LZ63" s="12">
        <f t="shared" si="107"/>
        <v>0</v>
      </c>
      <c r="MA63" s="12">
        <f t="shared" si="108"/>
        <v>0</v>
      </c>
      <c r="MB63" s="16">
        <f t="shared" si="109"/>
        <v>0</v>
      </c>
      <c r="MC63" s="59">
        <f t="shared" si="110"/>
        <v>0</v>
      </c>
      <c r="MD63" s="26"/>
      <c r="ME63" s="68"/>
      <c r="MF63" s="15"/>
      <c r="MG63" s="15"/>
      <c r="MH63" s="15"/>
      <c r="MI63" s="15"/>
      <c r="MJ63" s="15"/>
      <c r="MK63" s="15"/>
      <c r="ML63" s="15"/>
      <c r="MM63" s="61">
        <f t="shared" si="111"/>
        <v>0</v>
      </c>
      <c r="MN63" s="66">
        <f t="shared" si="112"/>
        <v>0</v>
      </c>
      <c r="MO63" s="12">
        <f t="shared" si="113"/>
        <v>0</v>
      </c>
      <c r="MP63" s="12">
        <f t="shared" si="114"/>
        <v>0</v>
      </c>
      <c r="MQ63" s="12">
        <f t="shared" si="115"/>
        <v>0</v>
      </c>
      <c r="MR63" s="12">
        <f t="shared" si="116"/>
        <v>0</v>
      </c>
      <c r="MS63" s="12">
        <f t="shared" si="116"/>
        <v>0</v>
      </c>
      <c r="MT63" s="16">
        <f t="shared" si="117"/>
        <v>0</v>
      </c>
      <c r="MU63" s="59">
        <f t="shared" si="189"/>
        <v>0</v>
      </c>
      <c r="MV63" s="621"/>
      <c r="MW63" s="619"/>
      <c r="MX63" s="15"/>
      <c r="MY63" s="15"/>
      <c r="MZ63" s="15"/>
      <c r="NA63" s="15"/>
      <c r="NB63" s="15"/>
      <c r="NC63" s="15"/>
      <c r="ND63" s="15"/>
      <c r="NE63" s="61">
        <f t="shared" si="118"/>
        <v>0</v>
      </c>
      <c r="NF63" s="66">
        <f t="shared" si="119"/>
        <v>0</v>
      </c>
      <c r="NG63" s="12">
        <f t="shared" si="120"/>
        <v>0</v>
      </c>
      <c r="NH63" s="12">
        <f t="shared" si="121"/>
        <v>0</v>
      </c>
      <c r="NI63" s="12">
        <f t="shared" si="122"/>
        <v>0</v>
      </c>
      <c r="NJ63" s="12">
        <f t="shared" si="123"/>
        <v>0</v>
      </c>
      <c r="NK63" s="12">
        <f t="shared" si="123"/>
        <v>0</v>
      </c>
      <c r="NL63" s="16">
        <f t="shared" si="124"/>
        <v>0</v>
      </c>
      <c r="NM63" s="59">
        <f t="shared" si="125"/>
        <v>0</v>
      </c>
      <c r="NN63" s="621"/>
      <c r="NO63" s="619"/>
      <c r="NP63" s="15"/>
      <c r="NQ63" s="15"/>
      <c r="NR63" s="15"/>
      <c r="NS63" s="15"/>
      <c r="NT63" s="15"/>
      <c r="NU63" s="61">
        <f t="shared" si="126"/>
        <v>0</v>
      </c>
      <c r="NV63" s="66">
        <f t="shared" si="190"/>
        <v>0</v>
      </c>
      <c r="NW63" s="12">
        <f t="shared" si="209"/>
        <v>0</v>
      </c>
      <c r="NX63" s="12">
        <f t="shared" si="210"/>
        <v>0</v>
      </c>
      <c r="NY63" s="12">
        <f t="shared" si="211"/>
        <v>0</v>
      </c>
      <c r="NZ63" s="16">
        <f t="shared" si="212"/>
        <v>0</v>
      </c>
      <c r="OA63" s="59">
        <f t="shared" si="131"/>
        <v>0</v>
      </c>
      <c r="OB63" s="135"/>
      <c r="OC63" s="133"/>
      <c r="OD63" s="15"/>
      <c r="OE63" s="15"/>
      <c r="OF63" s="15"/>
      <c r="OG63" s="15"/>
      <c r="OH63" s="15"/>
      <c r="OI63" s="61">
        <f t="shared" si="163"/>
        <v>0</v>
      </c>
      <c r="OJ63" s="66">
        <f t="shared" si="132"/>
        <v>0</v>
      </c>
      <c r="OK63" s="12">
        <f t="shared" si="133"/>
        <v>0</v>
      </c>
      <c r="OL63" s="12">
        <f t="shared" si="134"/>
        <v>0</v>
      </c>
      <c r="OM63" s="12">
        <f t="shared" si="135"/>
        <v>0</v>
      </c>
      <c r="ON63" s="16">
        <f t="shared" si="136"/>
        <v>0</v>
      </c>
      <c r="OO63" s="59">
        <f t="shared" si="137"/>
        <v>0</v>
      </c>
      <c r="OP63" s="135"/>
      <c r="OQ63" s="133"/>
      <c r="OR63" s="15"/>
      <c r="OS63" s="15"/>
      <c r="OT63" s="15"/>
      <c r="OU63" s="15"/>
      <c r="OV63" s="15"/>
      <c r="OW63" s="61">
        <f t="shared" si="138"/>
        <v>0</v>
      </c>
      <c r="OX63" s="66">
        <f t="shared" si="139"/>
        <v>0</v>
      </c>
      <c r="OY63" s="12">
        <f t="shared" si="140"/>
        <v>0</v>
      </c>
      <c r="OZ63" s="12">
        <f t="shared" si="141"/>
        <v>0</v>
      </c>
      <c r="PA63" s="12">
        <f t="shared" si="142"/>
        <v>0</v>
      </c>
      <c r="PB63" s="16">
        <f t="shared" si="143"/>
        <v>0</v>
      </c>
      <c r="PC63" s="59">
        <f t="shared" si="144"/>
        <v>0</v>
      </c>
      <c r="PD63" s="135"/>
      <c r="PE63" s="133"/>
      <c r="PF63" s="15"/>
      <c r="PG63" s="15"/>
      <c r="PH63" s="15"/>
      <c r="PI63" s="15"/>
      <c r="PJ63" s="15"/>
      <c r="PK63" s="61">
        <f t="shared" si="145"/>
        <v>0</v>
      </c>
      <c r="PL63" s="66">
        <f t="shared" si="174"/>
        <v>0</v>
      </c>
      <c r="PM63" s="12">
        <f t="shared" si="175"/>
        <v>0</v>
      </c>
      <c r="PN63" s="12">
        <f t="shared" si="176"/>
        <v>0</v>
      </c>
      <c r="PO63" s="12">
        <f t="shared" si="177"/>
        <v>0</v>
      </c>
      <c r="PP63" s="16">
        <f t="shared" si="178"/>
        <v>0</v>
      </c>
      <c r="PQ63" s="59">
        <f t="shared" si="150"/>
        <v>0</v>
      </c>
      <c r="PS63" s="884">
        <f t="shared" si="151"/>
        <v>0</v>
      </c>
    </row>
    <row r="64" spans="2:435" x14ac:dyDescent="0.2">
      <c r="B64" s="24">
        <v>49</v>
      </c>
      <c r="C64" s="70" t="s">
        <v>40</v>
      </c>
      <c r="D64" s="26"/>
      <c r="E64" s="42"/>
      <c r="F64" s="31"/>
      <c r="G64" s="12"/>
      <c r="H64" s="12"/>
      <c r="I64" s="12"/>
      <c r="J64" s="12"/>
      <c r="K64" s="12"/>
      <c r="L64" s="15"/>
      <c r="M64" s="61">
        <f t="shared" si="41"/>
        <v>0</v>
      </c>
      <c r="N64" s="31">
        <f t="shared" si="308"/>
        <v>0</v>
      </c>
      <c r="O64" s="12">
        <f t="shared" si="308"/>
        <v>0</v>
      </c>
      <c r="P64" s="12">
        <f t="shared" si="308"/>
        <v>0</v>
      </c>
      <c r="Q64" s="12">
        <f t="shared" si="308"/>
        <v>0</v>
      </c>
      <c r="R64" s="12">
        <f t="shared" si="308"/>
        <v>0</v>
      </c>
      <c r="S64" s="12">
        <f t="shared" si="308"/>
        <v>0</v>
      </c>
      <c r="T64" s="15">
        <f t="shared" si="308"/>
        <v>0</v>
      </c>
      <c r="U64" s="59">
        <f t="shared" si="191"/>
        <v>0</v>
      </c>
      <c r="V64" s="26"/>
      <c r="W64" s="42"/>
      <c r="X64" s="31"/>
      <c r="Y64" s="12"/>
      <c r="Z64" s="12"/>
      <c r="AA64" s="12"/>
      <c r="AB64" s="12"/>
      <c r="AC64" s="12"/>
      <c r="AD64" s="15"/>
      <c r="AE64" s="15"/>
      <c r="AF64" s="61">
        <f t="shared" si="42"/>
        <v>0</v>
      </c>
      <c r="AG64" s="35">
        <f t="shared" si="43"/>
        <v>0</v>
      </c>
      <c r="AH64" s="35">
        <f t="shared" si="43"/>
        <v>0</v>
      </c>
      <c r="AI64" s="35">
        <f t="shared" si="43"/>
        <v>0</v>
      </c>
      <c r="AJ64" s="35">
        <f t="shared" si="43"/>
        <v>0</v>
      </c>
      <c r="AK64" s="35">
        <f t="shared" si="43"/>
        <v>0</v>
      </c>
      <c r="AL64" s="35">
        <f t="shared" si="43"/>
        <v>0</v>
      </c>
      <c r="AM64" s="35">
        <f t="shared" si="43"/>
        <v>0</v>
      </c>
      <c r="AN64" s="35">
        <f t="shared" si="43"/>
        <v>0</v>
      </c>
      <c r="AO64" s="62">
        <f t="shared" si="44"/>
        <v>0</v>
      </c>
      <c r="AP64" s="26"/>
      <c r="AQ64" s="42"/>
      <c r="AR64" s="12"/>
      <c r="AS64" s="12"/>
      <c r="AT64" s="12"/>
      <c r="AU64" s="12"/>
      <c r="AV64" s="15"/>
      <c r="AW64" s="15"/>
      <c r="AX64" s="61">
        <f t="shared" si="45"/>
        <v>0</v>
      </c>
      <c r="AY64" s="35">
        <f t="shared" si="273"/>
        <v>0</v>
      </c>
      <c r="AZ64" s="35">
        <f t="shared" si="273"/>
        <v>0</v>
      </c>
      <c r="BA64" s="35">
        <f t="shared" si="273"/>
        <v>0</v>
      </c>
      <c r="BB64" s="35">
        <f t="shared" si="273"/>
        <v>0</v>
      </c>
      <c r="BC64" s="35">
        <f t="shared" si="273"/>
        <v>0</v>
      </c>
      <c r="BD64" s="34">
        <f t="shared" si="273"/>
        <v>0</v>
      </c>
      <c r="BE64" s="59">
        <f t="shared" si="46"/>
        <v>0</v>
      </c>
      <c r="BF64" s="26">
        <v>27500</v>
      </c>
      <c r="BG64" s="42">
        <v>0.5</v>
      </c>
      <c r="BH64" s="12"/>
      <c r="BI64" s="12"/>
      <c r="BJ64" s="12"/>
      <c r="BK64" s="12"/>
      <c r="BL64" s="15">
        <v>0.5</v>
      </c>
      <c r="BM64" s="15"/>
      <c r="BN64" s="15"/>
      <c r="BO64" s="61">
        <f>BG64-BH64-BI64-BJ64-BK64-BL64-BM64-BN64</f>
        <v>0</v>
      </c>
      <c r="BP64" s="65">
        <f t="shared" si="274"/>
        <v>0</v>
      </c>
      <c r="BQ64" s="33">
        <f t="shared" si="274"/>
        <v>0</v>
      </c>
      <c r="BR64" s="33">
        <f t="shared" si="274"/>
        <v>0</v>
      </c>
      <c r="BS64" s="33">
        <f t="shared" si="274"/>
        <v>0</v>
      </c>
      <c r="BT64" s="33">
        <f t="shared" si="274"/>
        <v>27500</v>
      </c>
      <c r="BU64" s="33">
        <f t="shared" si="274"/>
        <v>0</v>
      </c>
      <c r="BV64" s="34">
        <f t="shared" si="274"/>
        <v>0</v>
      </c>
      <c r="BW64" s="59">
        <f t="shared" si="192"/>
        <v>0</v>
      </c>
      <c r="BX64" s="69">
        <v>27500</v>
      </c>
      <c r="BY64" s="68">
        <v>0.5</v>
      </c>
      <c r="BZ64" s="31"/>
      <c r="CA64" s="12"/>
      <c r="CB64" s="12"/>
      <c r="CC64" s="12"/>
      <c r="CD64" s="15">
        <v>0.5</v>
      </c>
      <c r="CE64" s="15"/>
      <c r="CF64" s="15"/>
      <c r="CG64" s="61">
        <f>BY64-BZ64-CA64-CB64-CC64-CD64-CE64-CF64</f>
        <v>0</v>
      </c>
      <c r="CH64" s="66">
        <f t="shared" si="47"/>
        <v>0</v>
      </c>
      <c r="CI64" s="12">
        <f t="shared" si="47"/>
        <v>0</v>
      </c>
      <c r="CJ64" s="12">
        <f t="shared" si="47"/>
        <v>0</v>
      </c>
      <c r="CK64" s="12">
        <f t="shared" si="47"/>
        <v>0</v>
      </c>
      <c r="CL64" s="12">
        <f t="shared" si="47"/>
        <v>27500</v>
      </c>
      <c r="CM64" s="12">
        <f t="shared" si="47"/>
        <v>0</v>
      </c>
      <c r="CN64" s="16">
        <f t="shared" si="47"/>
        <v>0</v>
      </c>
      <c r="CO64" s="59">
        <f t="shared" si="193"/>
        <v>0</v>
      </c>
      <c r="CP64" s="69">
        <v>27500</v>
      </c>
      <c r="CQ64" s="68">
        <v>0.5</v>
      </c>
      <c r="CR64" s="12"/>
      <c r="CS64" s="12"/>
      <c r="CT64" s="12"/>
      <c r="CU64" s="12"/>
      <c r="CV64" s="15">
        <v>0.5</v>
      </c>
      <c r="CW64" s="15"/>
      <c r="CX64" s="15"/>
      <c r="CY64" s="61">
        <f>CQ64-CR64-CS64-CT64-CU64-CV64-CW64-CX64</f>
        <v>0</v>
      </c>
      <c r="CZ64" s="66">
        <f t="shared" si="194"/>
        <v>0</v>
      </c>
      <c r="DA64" s="12">
        <f t="shared" si="194"/>
        <v>0</v>
      </c>
      <c r="DB64" s="12">
        <f t="shared" si="194"/>
        <v>0</v>
      </c>
      <c r="DC64" s="12">
        <f t="shared" si="194"/>
        <v>0</v>
      </c>
      <c r="DD64" s="12">
        <f t="shared" si="194"/>
        <v>27500</v>
      </c>
      <c r="DE64" s="12">
        <f t="shared" si="194"/>
        <v>0</v>
      </c>
      <c r="DF64" s="16">
        <f t="shared" si="194"/>
        <v>0</v>
      </c>
      <c r="DG64" s="59">
        <f t="shared" si="195"/>
        <v>0</v>
      </c>
      <c r="DH64" s="69">
        <v>27500</v>
      </c>
      <c r="DI64" s="68">
        <v>0.5</v>
      </c>
      <c r="DJ64" s="12"/>
      <c r="DK64" s="12"/>
      <c r="DL64" s="12">
        <v>0.5</v>
      </c>
      <c r="DM64" s="12"/>
      <c r="DN64" s="15"/>
      <c r="DO64" s="15"/>
      <c r="DP64" s="15"/>
      <c r="DQ64" s="61">
        <f t="shared" si="9"/>
        <v>0</v>
      </c>
      <c r="DR64" s="66">
        <f t="shared" si="48"/>
        <v>0</v>
      </c>
      <c r="DS64" s="12">
        <f t="shared" si="48"/>
        <v>0</v>
      </c>
      <c r="DT64" s="12">
        <f t="shared" si="48"/>
        <v>27500</v>
      </c>
      <c r="DU64" s="12">
        <f t="shared" si="48"/>
        <v>0</v>
      </c>
      <c r="DV64" s="12">
        <f t="shared" si="48"/>
        <v>0</v>
      </c>
      <c r="DW64" s="12">
        <f t="shared" si="48"/>
        <v>0</v>
      </c>
      <c r="DX64" s="16">
        <f t="shared" si="48"/>
        <v>0</v>
      </c>
      <c r="DY64" s="59">
        <f t="shared" si="196"/>
        <v>0</v>
      </c>
      <c r="DZ64" s="69">
        <v>27500</v>
      </c>
      <c r="EA64" s="68">
        <v>0.5</v>
      </c>
      <c r="EB64" s="12"/>
      <c r="EC64" s="12"/>
      <c r="ED64" s="12"/>
      <c r="EE64" s="15"/>
      <c r="EF64" s="15"/>
      <c r="EG64" s="15">
        <v>0.5</v>
      </c>
      <c r="EH64" s="61">
        <f t="shared" si="197"/>
        <v>0</v>
      </c>
      <c r="EI64" s="66">
        <f t="shared" si="275"/>
        <v>0</v>
      </c>
      <c r="EJ64" s="12">
        <f t="shared" si="275"/>
        <v>0</v>
      </c>
      <c r="EK64" s="12">
        <f t="shared" si="275"/>
        <v>0</v>
      </c>
      <c r="EL64" s="12">
        <f t="shared" si="275"/>
        <v>0</v>
      </c>
      <c r="EM64" s="12">
        <f t="shared" si="275"/>
        <v>0</v>
      </c>
      <c r="EN64" s="16">
        <f t="shared" si="275"/>
        <v>27500</v>
      </c>
      <c r="EO64" s="59">
        <f t="shared" si="198"/>
        <v>0</v>
      </c>
      <c r="EP64" s="69">
        <v>27500</v>
      </c>
      <c r="EQ64" s="68">
        <v>0.5</v>
      </c>
      <c r="ER64" s="12"/>
      <c r="ES64" s="12"/>
      <c r="ET64" s="15"/>
      <c r="EU64" s="15">
        <v>0.5</v>
      </c>
      <c r="EV64" s="61">
        <f t="shared" si="199"/>
        <v>0</v>
      </c>
      <c r="EW64" s="66">
        <f t="shared" si="49"/>
        <v>0</v>
      </c>
      <c r="EX64" s="12">
        <f t="shared" si="49"/>
        <v>0</v>
      </c>
      <c r="EY64" s="12">
        <f t="shared" si="49"/>
        <v>0</v>
      </c>
      <c r="EZ64" s="16">
        <f t="shared" si="49"/>
        <v>27500</v>
      </c>
      <c r="FA64" s="59">
        <f t="shared" si="200"/>
        <v>0</v>
      </c>
      <c r="FB64" s="69">
        <v>27500</v>
      </c>
      <c r="FC64" s="68">
        <v>0.5</v>
      </c>
      <c r="FD64" s="12"/>
      <c r="FE64" s="15"/>
      <c r="FF64" s="15">
        <v>0.5</v>
      </c>
      <c r="FG64" s="61">
        <f t="shared" si="201"/>
        <v>0</v>
      </c>
      <c r="FH64" s="66">
        <f t="shared" si="50"/>
        <v>0</v>
      </c>
      <c r="FI64" s="12">
        <f t="shared" si="50"/>
        <v>0</v>
      </c>
      <c r="FJ64" s="16">
        <f t="shared" si="50"/>
        <v>27500</v>
      </c>
      <c r="FK64" s="59">
        <f t="shared" si="202"/>
        <v>0</v>
      </c>
      <c r="FL64" s="69">
        <v>27500</v>
      </c>
      <c r="FM64" s="68">
        <v>0.5</v>
      </c>
      <c r="FN64" s="12"/>
      <c r="FO64" s="15"/>
      <c r="FP64" s="15"/>
      <c r="FQ64" s="15"/>
      <c r="FR64" s="15">
        <v>0.5</v>
      </c>
      <c r="FS64" s="61">
        <f t="shared" si="203"/>
        <v>0</v>
      </c>
      <c r="FT64" s="66">
        <f t="shared" si="309"/>
        <v>0</v>
      </c>
      <c r="FU64" s="12">
        <f t="shared" si="309"/>
        <v>0</v>
      </c>
      <c r="FV64" s="12">
        <f t="shared" si="206"/>
        <v>0</v>
      </c>
      <c r="FW64" s="12">
        <f t="shared" si="207"/>
        <v>0</v>
      </c>
      <c r="FX64" s="16">
        <f t="shared" si="51"/>
        <v>27500</v>
      </c>
      <c r="FY64" s="59">
        <f t="shared" si="52"/>
        <v>0</v>
      </c>
      <c r="FZ64" s="69">
        <v>27500</v>
      </c>
      <c r="GA64" s="68">
        <v>0.5</v>
      </c>
      <c r="GB64" s="12"/>
      <c r="GC64" s="15"/>
      <c r="GD64" s="15"/>
      <c r="GE64" s="15">
        <v>0.5</v>
      </c>
      <c r="GF64" s="61">
        <f t="shared" si="208"/>
        <v>0</v>
      </c>
      <c r="GG64" s="66">
        <f t="shared" si="53"/>
        <v>0</v>
      </c>
      <c r="GH64" s="66">
        <f>IF($GA64&lt;&gt;0,GB64*$FZ64/$GA64,0)</f>
        <v>0</v>
      </c>
      <c r="GI64" s="12">
        <f t="shared" si="289"/>
        <v>0</v>
      </c>
      <c r="GJ64" s="12">
        <f t="shared" si="179"/>
        <v>0</v>
      </c>
      <c r="GK64" s="31">
        <f t="shared" si="290"/>
        <v>0</v>
      </c>
      <c r="GL64" s="123">
        <f t="shared" si="291"/>
        <v>27500</v>
      </c>
      <c r="GM64" s="410">
        <f t="shared" si="16"/>
        <v>0</v>
      </c>
      <c r="GN64" s="414">
        <v>27500</v>
      </c>
      <c r="GO64" s="68">
        <v>0.5</v>
      </c>
      <c r="GP64" s="12"/>
      <c r="GQ64" s="15"/>
      <c r="GR64" s="15"/>
      <c r="GS64" s="15">
        <v>0.25</v>
      </c>
      <c r="GT64" s="15">
        <v>0.25</v>
      </c>
      <c r="GU64" s="61">
        <f t="shared" si="54"/>
        <v>0</v>
      </c>
      <c r="GV64" s="66">
        <f t="shared" si="17"/>
        <v>0</v>
      </c>
      <c r="GW64" s="12">
        <f t="shared" si="18"/>
        <v>0</v>
      </c>
      <c r="GX64" s="12">
        <f t="shared" si="19"/>
        <v>0</v>
      </c>
      <c r="GY64" s="12">
        <f t="shared" si="20"/>
        <v>13750</v>
      </c>
      <c r="GZ64" s="16">
        <f t="shared" si="21"/>
        <v>13750</v>
      </c>
      <c r="HA64" s="59">
        <f t="shared" si="55"/>
        <v>0</v>
      </c>
      <c r="HB64" s="69">
        <v>35000</v>
      </c>
      <c r="HC64" s="68">
        <v>0.5</v>
      </c>
      <c r="HD64" s="12"/>
      <c r="HE64" s="15"/>
      <c r="HF64" s="15"/>
      <c r="HG64" s="15">
        <v>0.4</v>
      </c>
      <c r="HH64" s="15">
        <v>0.1</v>
      </c>
      <c r="HI64" s="15"/>
      <c r="HJ64" s="15"/>
      <c r="HK64" s="15"/>
      <c r="HL64" s="61">
        <f t="shared" si="56"/>
        <v>0</v>
      </c>
      <c r="HM64" s="66">
        <f t="shared" si="22"/>
        <v>0</v>
      </c>
      <c r="HN64" s="12">
        <f t="shared" si="23"/>
        <v>0</v>
      </c>
      <c r="HO64" s="12">
        <f t="shared" si="24"/>
        <v>0</v>
      </c>
      <c r="HP64" s="12">
        <f t="shared" si="25"/>
        <v>28000</v>
      </c>
      <c r="HQ64" s="12">
        <f t="shared" si="26"/>
        <v>7000</v>
      </c>
      <c r="HR64" s="12">
        <f t="shared" si="27"/>
        <v>0</v>
      </c>
      <c r="HS64" s="12">
        <f t="shared" si="28"/>
        <v>0</v>
      </c>
      <c r="HT64" s="16">
        <f t="shared" si="29"/>
        <v>0</v>
      </c>
      <c r="HU64" s="59">
        <f t="shared" si="57"/>
        <v>0</v>
      </c>
      <c r="HV64" s="69">
        <v>27500</v>
      </c>
      <c r="HW64" s="68">
        <v>0.5</v>
      </c>
      <c r="HX64" s="12"/>
      <c r="HY64" s="15"/>
      <c r="HZ64" s="61">
        <f t="shared" si="58"/>
        <v>0.5</v>
      </c>
      <c r="IA64" s="66">
        <f t="shared" si="59"/>
        <v>0</v>
      </c>
      <c r="IB64" s="16">
        <f t="shared" si="59"/>
        <v>0</v>
      </c>
      <c r="IC64" s="59">
        <f t="shared" si="60"/>
        <v>27500</v>
      </c>
      <c r="ID64" s="129">
        <f>1666.67+26839.96</f>
        <v>28506.63</v>
      </c>
      <c r="IE64" s="68">
        <v>0.5</v>
      </c>
      <c r="IF64" s="12"/>
      <c r="IG64" s="15"/>
      <c r="IH64" s="15"/>
      <c r="II64" s="15">
        <v>0.5</v>
      </c>
      <c r="IJ64" s="15"/>
      <c r="IK64" s="15"/>
      <c r="IL64" s="15"/>
      <c r="IM64" s="15"/>
      <c r="IN64" s="15"/>
      <c r="IO64" s="61">
        <f t="shared" si="61"/>
        <v>0</v>
      </c>
      <c r="IP64" s="66">
        <f t="shared" si="62"/>
        <v>0</v>
      </c>
      <c r="IQ64" s="12">
        <f t="shared" si="63"/>
        <v>0</v>
      </c>
      <c r="IR64" s="12">
        <f t="shared" si="64"/>
        <v>0</v>
      </c>
      <c r="IS64" s="12">
        <f t="shared" si="65"/>
        <v>28506.63</v>
      </c>
      <c r="IT64" s="12">
        <f t="shared" si="66"/>
        <v>0</v>
      </c>
      <c r="IU64" s="12">
        <f t="shared" si="67"/>
        <v>0</v>
      </c>
      <c r="IV64" s="12">
        <f t="shared" si="68"/>
        <v>0</v>
      </c>
      <c r="IW64" s="15">
        <f t="shared" si="69"/>
        <v>0</v>
      </c>
      <c r="IX64" s="16">
        <f t="shared" si="69"/>
        <v>0</v>
      </c>
      <c r="IY64" s="59">
        <f t="shared" si="70"/>
        <v>0</v>
      </c>
      <c r="IZ64" s="129">
        <v>35000</v>
      </c>
      <c r="JA64" s="68">
        <v>0.5</v>
      </c>
      <c r="JB64" s="12"/>
      <c r="JC64" s="15"/>
      <c r="JD64" s="15"/>
      <c r="JE64" s="15">
        <v>0.5</v>
      </c>
      <c r="JF64" s="15"/>
      <c r="JG64" s="15"/>
      <c r="JH64" s="15"/>
      <c r="JI64" s="15"/>
      <c r="JJ64" s="15"/>
      <c r="JK64" s="61">
        <f t="shared" si="295"/>
        <v>0</v>
      </c>
      <c r="JL64" s="66">
        <f t="shared" si="72"/>
        <v>0</v>
      </c>
      <c r="JM64" s="12">
        <f t="shared" si="276"/>
        <v>0</v>
      </c>
      <c r="JN64" s="12">
        <f t="shared" si="277"/>
        <v>0</v>
      </c>
      <c r="JO64" s="12">
        <f t="shared" si="278"/>
        <v>35000</v>
      </c>
      <c r="JP64" s="12">
        <f t="shared" si="279"/>
        <v>0</v>
      </c>
      <c r="JQ64" s="12">
        <f t="shared" si="280"/>
        <v>0</v>
      </c>
      <c r="JR64" s="12">
        <f t="shared" si="281"/>
        <v>0</v>
      </c>
      <c r="JS64" s="12">
        <f t="shared" si="282"/>
        <v>0</v>
      </c>
      <c r="JT64" s="16">
        <f t="shared" si="283"/>
        <v>0</v>
      </c>
      <c r="JU64" s="59">
        <f t="shared" si="81"/>
        <v>0</v>
      </c>
      <c r="JV64" s="129">
        <v>35000</v>
      </c>
      <c r="JW64" s="68">
        <v>0.5</v>
      </c>
      <c r="JX64" s="12"/>
      <c r="JY64" s="12"/>
      <c r="JZ64" s="15"/>
      <c r="KA64" s="15">
        <v>0.5</v>
      </c>
      <c r="KB64" s="15"/>
      <c r="KC64" s="15"/>
      <c r="KD64" s="15"/>
      <c r="KE64" s="15"/>
      <c r="KF64" s="15"/>
      <c r="KG64" s="61">
        <f t="shared" si="82"/>
        <v>0</v>
      </c>
      <c r="KH64" s="146">
        <f t="shared" si="83"/>
        <v>0</v>
      </c>
      <c r="KI64" s="12">
        <f t="shared" si="83"/>
        <v>0</v>
      </c>
      <c r="KJ64" s="12">
        <f t="shared" si="84"/>
        <v>0</v>
      </c>
      <c r="KK64" s="12">
        <f t="shared" si="85"/>
        <v>35000</v>
      </c>
      <c r="KL64" s="12">
        <f t="shared" si="86"/>
        <v>0</v>
      </c>
      <c r="KM64" s="12">
        <f t="shared" si="87"/>
        <v>0</v>
      </c>
      <c r="KN64" s="12">
        <f t="shared" si="88"/>
        <v>0</v>
      </c>
      <c r="KO64" s="12">
        <f t="shared" si="89"/>
        <v>0</v>
      </c>
      <c r="KP64" s="16">
        <f t="shared" si="90"/>
        <v>0</v>
      </c>
      <c r="KQ64" s="59">
        <f t="shared" si="91"/>
        <v>0</v>
      </c>
      <c r="KR64" s="129">
        <v>35000</v>
      </c>
      <c r="KS64" s="68">
        <v>0.5</v>
      </c>
      <c r="KT64" s="12"/>
      <c r="KU64" s="15"/>
      <c r="KV64" s="15">
        <v>0.5</v>
      </c>
      <c r="KW64" s="15"/>
      <c r="KX64" s="15"/>
      <c r="KY64" s="15"/>
      <c r="KZ64" s="15"/>
      <c r="LA64" s="15"/>
      <c r="LB64" s="61">
        <f t="shared" si="92"/>
        <v>0</v>
      </c>
      <c r="LC64" s="66">
        <f t="shared" si="93"/>
        <v>0</v>
      </c>
      <c r="LD64" s="12">
        <f t="shared" si="94"/>
        <v>0</v>
      </c>
      <c r="LE64" s="12">
        <f t="shared" si="95"/>
        <v>35000</v>
      </c>
      <c r="LF64" s="12">
        <f t="shared" si="96"/>
        <v>0</v>
      </c>
      <c r="LG64" s="12">
        <f t="shared" si="97"/>
        <v>0</v>
      </c>
      <c r="LH64" s="12">
        <f t="shared" si="98"/>
        <v>0</v>
      </c>
      <c r="LI64" s="12">
        <f t="shared" si="99"/>
        <v>0</v>
      </c>
      <c r="LJ64" s="16">
        <f t="shared" si="100"/>
        <v>0</v>
      </c>
      <c r="LK64" s="59">
        <f t="shared" si="101"/>
        <v>0</v>
      </c>
      <c r="LL64" s="129">
        <v>35000</v>
      </c>
      <c r="LM64" s="68">
        <v>0.5</v>
      </c>
      <c r="LN64" s="15"/>
      <c r="LO64" s="15">
        <v>0.25</v>
      </c>
      <c r="LP64" s="15">
        <v>0.25</v>
      </c>
      <c r="LQ64" s="15"/>
      <c r="LR64" s="15"/>
      <c r="LS64" s="15"/>
      <c r="LT64" s="15"/>
      <c r="LU64" s="61">
        <f t="shared" si="102"/>
        <v>0</v>
      </c>
      <c r="LV64" s="66">
        <f t="shared" si="103"/>
        <v>0</v>
      </c>
      <c r="LW64" s="12">
        <f t="shared" si="104"/>
        <v>17500</v>
      </c>
      <c r="LX64" s="12">
        <f t="shared" si="105"/>
        <v>17500</v>
      </c>
      <c r="LY64" s="12">
        <f t="shared" si="106"/>
        <v>0</v>
      </c>
      <c r="LZ64" s="12">
        <f t="shared" si="107"/>
        <v>0</v>
      </c>
      <c r="MA64" s="12">
        <f t="shared" si="108"/>
        <v>0</v>
      </c>
      <c r="MB64" s="16">
        <f t="shared" si="109"/>
        <v>0</v>
      </c>
      <c r="MC64" s="59">
        <f t="shared" si="110"/>
        <v>0</v>
      </c>
      <c r="MD64" s="129">
        <v>35000</v>
      </c>
      <c r="ME64" s="68">
        <v>0.5</v>
      </c>
      <c r="MF64" s="15"/>
      <c r="MG64" s="15">
        <v>0.5</v>
      </c>
      <c r="MH64" s="15"/>
      <c r="MI64" s="15"/>
      <c r="MJ64" s="15"/>
      <c r="MK64" s="15"/>
      <c r="ML64" s="15"/>
      <c r="MM64" s="61">
        <f t="shared" si="111"/>
        <v>0</v>
      </c>
      <c r="MN64" s="66">
        <f t="shared" si="112"/>
        <v>0</v>
      </c>
      <c r="MO64" s="12">
        <f t="shared" si="113"/>
        <v>35000</v>
      </c>
      <c r="MP64" s="12">
        <f t="shared" si="114"/>
        <v>0</v>
      </c>
      <c r="MQ64" s="12">
        <f t="shared" si="115"/>
        <v>0</v>
      </c>
      <c r="MR64" s="12">
        <f t="shared" si="116"/>
        <v>0</v>
      </c>
      <c r="MS64" s="12">
        <f t="shared" si="116"/>
        <v>0</v>
      </c>
      <c r="MT64" s="16">
        <f t="shared" si="117"/>
        <v>0</v>
      </c>
      <c r="MU64" s="59">
        <f t="shared" si="189"/>
        <v>0</v>
      </c>
      <c r="MV64" s="617">
        <v>35000</v>
      </c>
      <c r="MW64" s="619">
        <v>0.5</v>
      </c>
      <c r="MX64" s="15"/>
      <c r="MY64" s="15">
        <v>0.5</v>
      </c>
      <c r="MZ64" s="15"/>
      <c r="NA64" s="15"/>
      <c r="NB64" s="15"/>
      <c r="NC64" s="15"/>
      <c r="ND64" s="15"/>
      <c r="NE64" s="61">
        <f t="shared" si="118"/>
        <v>0</v>
      </c>
      <c r="NF64" s="66">
        <f t="shared" si="119"/>
        <v>0</v>
      </c>
      <c r="NG64" s="12">
        <f t="shared" si="120"/>
        <v>35000</v>
      </c>
      <c r="NH64" s="12">
        <f t="shared" si="121"/>
        <v>0</v>
      </c>
      <c r="NI64" s="12">
        <f t="shared" si="122"/>
        <v>0</v>
      </c>
      <c r="NJ64" s="12">
        <f t="shared" si="123"/>
        <v>0</v>
      </c>
      <c r="NK64" s="12">
        <f t="shared" si="123"/>
        <v>0</v>
      </c>
      <c r="NL64" s="16">
        <f t="shared" si="124"/>
        <v>0</v>
      </c>
      <c r="NM64" s="59">
        <f t="shared" si="125"/>
        <v>0</v>
      </c>
      <c r="NN64" s="617">
        <v>35000</v>
      </c>
      <c r="NO64" s="619">
        <v>0.5</v>
      </c>
      <c r="NP64" s="15"/>
      <c r="NQ64" s="15"/>
      <c r="NR64" s="15"/>
      <c r="NS64" s="15"/>
      <c r="NT64" s="15"/>
      <c r="NU64" s="61">
        <f t="shared" si="126"/>
        <v>0.5</v>
      </c>
      <c r="NV64" s="66">
        <f t="shared" si="190"/>
        <v>0</v>
      </c>
      <c r="NW64" s="12">
        <f t="shared" si="209"/>
        <v>0</v>
      </c>
      <c r="NX64" s="12">
        <f t="shared" si="210"/>
        <v>0</v>
      </c>
      <c r="NY64" s="12">
        <f t="shared" si="211"/>
        <v>0</v>
      </c>
      <c r="NZ64" s="16">
        <f t="shared" si="212"/>
        <v>0</v>
      </c>
      <c r="OA64" s="59">
        <f t="shared" si="131"/>
        <v>35000</v>
      </c>
      <c r="OB64" s="131">
        <v>35000</v>
      </c>
      <c r="OC64" s="133">
        <v>0.5</v>
      </c>
      <c r="OD64" s="15"/>
      <c r="OE64" s="15"/>
      <c r="OF64" s="15"/>
      <c r="OG64" s="15"/>
      <c r="OH64" s="15"/>
      <c r="OI64" s="61">
        <f t="shared" si="163"/>
        <v>0.5</v>
      </c>
      <c r="OJ64" s="66">
        <f t="shared" si="132"/>
        <v>0</v>
      </c>
      <c r="OK64" s="12">
        <f t="shared" si="133"/>
        <v>0</v>
      </c>
      <c r="OL64" s="12">
        <f t="shared" si="134"/>
        <v>0</v>
      </c>
      <c r="OM64" s="12">
        <f t="shared" si="135"/>
        <v>0</v>
      </c>
      <c r="ON64" s="16">
        <f t="shared" si="136"/>
        <v>0</v>
      </c>
      <c r="OO64" s="59">
        <f t="shared" si="137"/>
        <v>35000</v>
      </c>
      <c r="OP64" s="131">
        <v>35000</v>
      </c>
      <c r="OQ64" s="133">
        <v>0.5</v>
      </c>
      <c r="OR64" s="15"/>
      <c r="OS64" s="15"/>
      <c r="OT64" s="15"/>
      <c r="OU64" s="15"/>
      <c r="OV64" s="15"/>
      <c r="OW64" s="61">
        <f t="shared" si="138"/>
        <v>0.5</v>
      </c>
      <c r="OX64" s="66">
        <f t="shared" si="139"/>
        <v>0</v>
      </c>
      <c r="OY64" s="12">
        <f t="shared" si="140"/>
        <v>0</v>
      </c>
      <c r="OZ64" s="12">
        <f t="shared" si="141"/>
        <v>0</v>
      </c>
      <c r="PA64" s="12">
        <f t="shared" si="142"/>
        <v>0</v>
      </c>
      <c r="PB64" s="16">
        <f t="shared" si="143"/>
        <v>0</v>
      </c>
      <c r="PC64" s="59">
        <f t="shared" si="144"/>
        <v>35000</v>
      </c>
      <c r="PD64" s="131">
        <v>35000</v>
      </c>
      <c r="PE64" s="133">
        <v>0.5</v>
      </c>
      <c r="PF64" s="15"/>
      <c r="PG64" s="15"/>
      <c r="PH64" s="15"/>
      <c r="PI64" s="15"/>
      <c r="PJ64" s="15"/>
      <c r="PK64" s="61">
        <f t="shared" si="145"/>
        <v>0.5</v>
      </c>
      <c r="PL64" s="66">
        <f t="shared" si="174"/>
        <v>0</v>
      </c>
      <c r="PM64" s="12">
        <f t="shared" si="175"/>
        <v>0</v>
      </c>
      <c r="PN64" s="12">
        <f t="shared" si="176"/>
        <v>0</v>
      </c>
      <c r="PO64" s="12">
        <f t="shared" si="177"/>
        <v>0</v>
      </c>
      <c r="PP64" s="16">
        <f t="shared" si="178"/>
        <v>0</v>
      </c>
      <c r="PQ64" s="59">
        <f t="shared" si="150"/>
        <v>35000</v>
      </c>
      <c r="PS64" s="884">
        <f t="shared" si="151"/>
        <v>0</v>
      </c>
    </row>
    <row r="65" spans="2:435" x14ac:dyDescent="0.2">
      <c r="B65" s="24">
        <v>50</v>
      </c>
      <c r="C65" s="70" t="s">
        <v>39</v>
      </c>
      <c r="D65" s="26"/>
      <c r="E65" s="42"/>
      <c r="F65" s="31"/>
      <c r="G65" s="12"/>
      <c r="H65" s="12"/>
      <c r="I65" s="12"/>
      <c r="J65" s="12"/>
      <c r="K65" s="12"/>
      <c r="L65" s="15"/>
      <c r="M65" s="61">
        <f t="shared" si="41"/>
        <v>0</v>
      </c>
      <c r="N65" s="31">
        <f t="shared" si="308"/>
        <v>0</v>
      </c>
      <c r="O65" s="12">
        <f t="shared" si="308"/>
        <v>0</v>
      </c>
      <c r="P65" s="12">
        <f t="shared" si="308"/>
        <v>0</v>
      </c>
      <c r="Q65" s="12">
        <f t="shared" si="308"/>
        <v>0</v>
      </c>
      <c r="R65" s="12">
        <f t="shared" si="308"/>
        <v>0</v>
      </c>
      <c r="S65" s="12">
        <f t="shared" si="308"/>
        <v>0</v>
      </c>
      <c r="T65" s="15">
        <f t="shared" si="308"/>
        <v>0</v>
      </c>
      <c r="U65" s="59">
        <f t="shared" si="191"/>
        <v>0</v>
      </c>
      <c r="V65" s="26"/>
      <c r="W65" s="42"/>
      <c r="X65" s="31"/>
      <c r="Y65" s="12"/>
      <c r="Z65" s="12"/>
      <c r="AA65" s="12"/>
      <c r="AB65" s="12"/>
      <c r="AC65" s="12"/>
      <c r="AD65" s="15"/>
      <c r="AE65" s="15"/>
      <c r="AF65" s="61">
        <f t="shared" si="42"/>
        <v>0</v>
      </c>
      <c r="AG65" s="35">
        <f t="shared" si="43"/>
        <v>0</v>
      </c>
      <c r="AH65" s="35">
        <f t="shared" si="43"/>
        <v>0</v>
      </c>
      <c r="AI65" s="35">
        <f t="shared" si="43"/>
        <v>0</v>
      </c>
      <c r="AJ65" s="35">
        <f t="shared" si="43"/>
        <v>0</v>
      </c>
      <c r="AK65" s="35">
        <f t="shared" si="43"/>
        <v>0</v>
      </c>
      <c r="AL65" s="35">
        <f t="shared" si="43"/>
        <v>0</v>
      </c>
      <c r="AM65" s="35">
        <f t="shared" si="43"/>
        <v>0</v>
      </c>
      <c r="AN65" s="35">
        <f t="shared" si="43"/>
        <v>0</v>
      </c>
      <c r="AO65" s="62">
        <f t="shared" si="44"/>
        <v>0</v>
      </c>
      <c r="AP65" s="26"/>
      <c r="AQ65" s="42"/>
      <c r="AR65" s="12"/>
      <c r="AS65" s="12"/>
      <c r="AT65" s="12"/>
      <c r="AU65" s="12"/>
      <c r="AV65" s="15"/>
      <c r="AW65" s="15"/>
      <c r="AX65" s="61">
        <f t="shared" si="45"/>
        <v>0</v>
      </c>
      <c r="AY65" s="35">
        <f t="shared" si="273"/>
        <v>0</v>
      </c>
      <c r="AZ65" s="35">
        <f t="shared" si="273"/>
        <v>0</v>
      </c>
      <c r="BA65" s="35">
        <f t="shared" si="273"/>
        <v>0</v>
      </c>
      <c r="BB65" s="35">
        <f t="shared" si="273"/>
        <v>0</v>
      </c>
      <c r="BC65" s="35">
        <f t="shared" si="273"/>
        <v>0</v>
      </c>
      <c r="BD65" s="34">
        <f t="shared" si="273"/>
        <v>0</v>
      </c>
      <c r="BE65" s="59">
        <f t="shared" si="46"/>
        <v>0</v>
      </c>
      <c r="BF65" s="26">
        <v>13500</v>
      </c>
      <c r="BG65" s="42">
        <v>0.5</v>
      </c>
      <c r="BH65" s="12"/>
      <c r="BI65" s="12"/>
      <c r="BJ65" s="12"/>
      <c r="BK65" s="12"/>
      <c r="BL65" s="15">
        <v>0.5</v>
      </c>
      <c r="BM65" s="15"/>
      <c r="BN65" s="15"/>
      <c r="BO65" s="61">
        <f>BG65-BH65-BI65-BJ65-BK65-BL65-BM65-BN65</f>
        <v>0</v>
      </c>
      <c r="BP65" s="65">
        <f t="shared" si="274"/>
        <v>0</v>
      </c>
      <c r="BQ65" s="33">
        <f t="shared" si="274"/>
        <v>0</v>
      </c>
      <c r="BR65" s="33">
        <f t="shared" si="274"/>
        <v>0</v>
      </c>
      <c r="BS65" s="33">
        <f t="shared" si="274"/>
        <v>0</v>
      </c>
      <c r="BT65" s="33">
        <f t="shared" si="274"/>
        <v>13500</v>
      </c>
      <c r="BU65" s="33">
        <f t="shared" si="274"/>
        <v>0</v>
      </c>
      <c r="BV65" s="34">
        <f t="shared" si="274"/>
        <v>0</v>
      </c>
      <c r="BW65" s="59">
        <f t="shared" si="192"/>
        <v>0</v>
      </c>
      <c r="BX65" s="69">
        <v>13500</v>
      </c>
      <c r="BY65" s="68">
        <v>0.5</v>
      </c>
      <c r="BZ65" s="31"/>
      <c r="CA65" s="12"/>
      <c r="CB65" s="12"/>
      <c r="CC65" s="12"/>
      <c r="CD65" s="15">
        <v>0.5</v>
      </c>
      <c r="CE65" s="15"/>
      <c r="CF65" s="15"/>
      <c r="CG65" s="61">
        <f>BY65-BZ65-CA65-CB65-CC65-CD65-CE65-CF65</f>
        <v>0</v>
      </c>
      <c r="CH65" s="66">
        <f t="shared" si="47"/>
        <v>0</v>
      </c>
      <c r="CI65" s="12">
        <f t="shared" si="47"/>
        <v>0</v>
      </c>
      <c r="CJ65" s="12">
        <f t="shared" si="47"/>
        <v>0</v>
      </c>
      <c r="CK65" s="12">
        <f t="shared" si="47"/>
        <v>0</v>
      </c>
      <c r="CL65" s="12">
        <f t="shared" si="47"/>
        <v>13500</v>
      </c>
      <c r="CM65" s="12">
        <f t="shared" si="47"/>
        <v>0</v>
      </c>
      <c r="CN65" s="16">
        <f t="shared" si="47"/>
        <v>0</v>
      </c>
      <c r="CO65" s="59">
        <f t="shared" si="193"/>
        <v>0</v>
      </c>
      <c r="CP65" s="69">
        <v>13500</v>
      </c>
      <c r="CQ65" s="68">
        <v>0.5</v>
      </c>
      <c r="CR65" s="12"/>
      <c r="CS65" s="12"/>
      <c r="CT65" s="12"/>
      <c r="CU65" s="12"/>
      <c r="CV65" s="15">
        <v>0.5</v>
      </c>
      <c r="CW65" s="15"/>
      <c r="CX65" s="15"/>
      <c r="CY65" s="61">
        <f>CQ65-CR65-CS65-CT65-CU65-CV65-CW65-CX65</f>
        <v>0</v>
      </c>
      <c r="CZ65" s="66">
        <f t="shared" si="194"/>
        <v>0</v>
      </c>
      <c r="DA65" s="12">
        <f t="shared" si="194"/>
        <v>0</v>
      </c>
      <c r="DB65" s="12">
        <f t="shared" si="194"/>
        <v>0</v>
      </c>
      <c r="DC65" s="12">
        <f t="shared" si="194"/>
        <v>0</v>
      </c>
      <c r="DD65" s="12">
        <f t="shared" si="194"/>
        <v>13500</v>
      </c>
      <c r="DE65" s="12">
        <f t="shared" si="194"/>
        <v>0</v>
      </c>
      <c r="DF65" s="16">
        <f t="shared" si="194"/>
        <v>0</v>
      </c>
      <c r="DG65" s="59">
        <f t="shared" si="195"/>
        <v>0</v>
      </c>
      <c r="DH65" s="69">
        <v>13500</v>
      </c>
      <c r="DI65" s="68">
        <v>0.5</v>
      </c>
      <c r="DJ65" s="12"/>
      <c r="DK65" s="12"/>
      <c r="DL65" s="12"/>
      <c r="DM65" s="12"/>
      <c r="DN65" s="15">
        <v>0.5</v>
      </c>
      <c r="DO65" s="15"/>
      <c r="DP65" s="15"/>
      <c r="DQ65" s="61">
        <f t="shared" si="9"/>
        <v>0</v>
      </c>
      <c r="DR65" s="66">
        <f t="shared" si="48"/>
        <v>0</v>
      </c>
      <c r="DS65" s="12">
        <f t="shared" si="48"/>
        <v>0</v>
      </c>
      <c r="DT65" s="12">
        <f t="shared" si="48"/>
        <v>0</v>
      </c>
      <c r="DU65" s="12">
        <f t="shared" si="48"/>
        <v>0</v>
      </c>
      <c r="DV65" s="12">
        <f t="shared" si="48"/>
        <v>13500</v>
      </c>
      <c r="DW65" s="12">
        <f t="shared" si="48"/>
        <v>0</v>
      </c>
      <c r="DX65" s="16">
        <f t="shared" si="48"/>
        <v>0</v>
      </c>
      <c r="DY65" s="59">
        <f t="shared" si="196"/>
        <v>0</v>
      </c>
      <c r="DZ65" s="69">
        <v>13500</v>
      </c>
      <c r="EA65" s="68">
        <v>0.5</v>
      </c>
      <c r="EB65" s="12"/>
      <c r="EC65" s="12"/>
      <c r="ED65" s="12"/>
      <c r="EE65" s="15"/>
      <c r="EF65" s="15"/>
      <c r="EG65" s="15">
        <v>0.5</v>
      </c>
      <c r="EH65" s="61">
        <f t="shared" si="197"/>
        <v>0</v>
      </c>
      <c r="EI65" s="66">
        <f t="shared" si="275"/>
        <v>0</v>
      </c>
      <c r="EJ65" s="12">
        <f t="shared" si="275"/>
        <v>0</v>
      </c>
      <c r="EK65" s="12">
        <f t="shared" si="275"/>
        <v>0</v>
      </c>
      <c r="EL65" s="12">
        <f t="shared" si="275"/>
        <v>0</v>
      </c>
      <c r="EM65" s="12">
        <f t="shared" si="275"/>
        <v>0</v>
      </c>
      <c r="EN65" s="16">
        <f t="shared" si="275"/>
        <v>13500</v>
      </c>
      <c r="EO65" s="59">
        <f t="shared" si="198"/>
        <v>0</v>
      </c>
      <c r="EP65" s="69">
        <v>13500</v>
      </c>
      <c r="EQ65" s="68">
        <v>0.5</v>
      </c>
      <c r="ER65" s="12"/>
      <c r="ES65" s="12"/>
      <c r="ET65" s="15"/>
      <c r="EU65" s="15">
        <v>0.5</v>
      </c>
      <c r="EV65" s="61">
        <f t="shared" si="199"/>
        <v>0</v>
      </c>
      <c r="EW65" s="66">
        <f t="shared" si="49"/>
        <v>0</v>
      </c>
      <c r="EX65" s="12">
        <f t="shared" si="49"/>
        <v>0</v>
      </c>
      <c r="EY65" s="12">
        <f t="shared" si="49"/>
        <v>0</v>
      </c>
      <c r="EZ65" s="16">
        <f t="shared" si="49"/>
        <v>13500</v>
      </c>
      <c r="FA65" s="59">
        <f t="shared" si="200"/>
        <v>0</v>
      </c>
      <c r="FB65" s="69">
        <v>13500</v>
      </c>
      <c r="FC65" s="68">
        <v>0.5</v>
      </c>
      <c r="FD65" s="12"/>
      <c r="FE65" s="15"/>
      <c r="FF65" s="15">
        <v>0.5</v>
      </c>
      <c r="FG65" s="61">
        <f t="shared" si="201"/>
        <v>0</v>
      </c>
      <c r="FH65" s="66">
        <f t="shared" si="50"/>
        <v>0</v>
      </c>
      <c r="FI65" s="12">
        <f t="shared" si="50"/>
        <v>0</v>
      </c>
      <c r="FJ65" s="16">
        <f t="shared" si="50"/>
        <v>13500</v>
      </c>
      <c r="FK65" s="59">
        <f t="shared" si="202"/>
        <v>0</v>
      </c>
      <c r="FL65" s="69">
        <v>13500</v>
      </c>
      <c r="FM65" s="68">
        <v>0.5</v>
      </c>
      <c r="FN65" s="12"/>
      <c r="FO65" s="15"/>
      <c r="FP65" s="15"/>
      <c r="FQ65" s="15"/>
      <c r="FR65" s="15">
        <v>0.5</v>
      </c>
      <c r="FS65" s="61">
        <f t="shared" si="203"/>
        <v>0</v>
      </c>
      <c r="FT65" s="66">
        <f t="shared" si="309"/>
        <v>0</v>
      </c>
      <c r="FU65" s="12">
        <f t="shared" si="309"/>
        <v>0</v>
      </c>
      <c r="FV65" s="12">
        <f t="shared" si="206"/>
        <v>0</v>
      </c>
      <c r="FW65" s="12">
        <f t="shared" si="207"/>
        <v>0</v>
      </c>
      <c r="FX65" s="16">
        <f t="shared" si="51"/>
        <v>13500</v>
      </c>
      <c r="FY65" s="59">
        <f t="shared" si="52"/>
        <v>0</v>
      </c>
      <c r="FZ65" s="69">
        <v>13500</v>
      </c>
      <c r="GA65" s="68">
        <v>0.5</v>
      </c>
      <c r="GB65" s="12"/>
      <c r="GC65" s="15"/>
      <c r="GD65" s="15">
        <v>0.5</v>
      </c>
      <c r="GE65" s="15"/>
      <c r="GF65" s="61">
        <f t="shared" si="208"/>
        <v>0</v>
      </c>
      <c r="GG65" s="66">
        <f t="shared" si="53"/>
        <v>0</v>
      </c>
      <c r="GH65" s="66">
        <f>IF($GA65&lt;&gt;0,GB65*$FZ65/$GA65,0)</f>
        <v>0</v>
      </c>
      <c r="GI65" s="12">
        <f t="shared" si="289"/>
        <v>0</v>
      </c>
      <c r="GJ65" s="12">
        <f t="shared" si="179"/>
        <v>0</v>
      </c>
      <c r="GK65" s="31">
        <f t="shared" si="290"/>
        <v>13500</v>
      </c>
      <c r="GL65" s="123">
        <f t="shared" si="291"/>
        <v>0</v>
      </c>
      <c r="GM65" s="410">
        <f t="shared" si="16"/>
        <v>0</v>
      </c>
      <c r="GN65" s="414">
        <v>13500</v>
      </c>
      <c r="GO65" s="68">
        <v>0.5</v>
      </c>
      <c r="GP65" s="12"/>
      <c r="GQ65" s="15"/>
      <c r="GR65" s="15">
        <v>0.5</v>
      </c>
      <c r="GS65" s="15"/>
      <c r="GT65" s="15"/>
      <c r="GU65" s="61">
        <f t="shared" si="54"/>
        <v>0</v>
      </c>
      <c r="GV65" s="66">
        <f t="shared" si="17"/>
        <v>0</v>
      </c>
      <c r="GW65" s="12">
        <f t="shared" si="18"/>
        <v>0</v>
      </c>
      <c r="GX65" s="12">
        <f t="shared" si="19"/>
        <v>13500</v>
      </c>
      <c r="GY65" s="12">
        <f t="shared" si="20"/>
        <v>0</v>
      </c>
      <c r="GZ65" s="16">
        <f t="shared" si="21"/>
        <v>0</v>
      </c>
      <c r="HA65" s="59">
        <f t="shared" si="55"/>
        <v>0</v>
      </c>
      <c r="HB65" s="69">
        <v>15000</v>
      </c>
      <c r="HC65" s="68">
        <v>0.5</v>
      </c>
      <c r="HD65" s="12"/>
      <c r="HE65" s="15"/>
      <c r="HF65" s="15"/>
      <c r="HG65" s="15">
        <v>0.5</v>
      </c>
      <c r="HH65" s="15"/>
      <c r="HI65" s="15"/>
      <c r="HJ65" s="15"/>
      <c r="HK65" s="15"/>
      <c r="HL65" s="61">
        <f t="shared" si="56"/>
        <v>0</v>
      </c>
      <c r="HM65" s="66">
        <f t="shared" si="22"/>
        <v>0</v>
      </c>
      <c r="HN65" s="12">
        <f t="shared" si="23"/>
        <v>0</v>
      </c>
      <c r="HO65" s="12">
        <f t="shared" si="24"/>
        <v>0</v>
      </c>
      <c r="HP65" s="12">
        <f t="shared" si="25"/>
        <v>15000</v>
      </c>
      <c r="HQ65" s="12">
        <f t="shared" si="26"/>
        <v>0</v>
      </c>
      <c r="HR65" s="12">
        <f t="shared" si="27"/>
        <v>0</v>
      </c>
      <c r="HS65" s="12">
        <f t="shared" si="28"/>
        <v>0</v>
      </c>
      <c r="HT65" s="16">
        <f t="shared" si="29"/>
        <v>0</v>
      </c>
      <c r="HU65" s="59">
        <f t="shared" si="57"/>
        <v>0</v>
      </c>
      <c r="HV65" s="69">
        <v>13500</v>
      </c>
      <c r="HW65" s="68">
        <v>0.5</v>
      </c>
      <c r="HX65" s="12"/>
      <c r="HY65" s="15"/>
      <c r="HZ65" s="61">
        <f t="shared" si="58"/>
        <v>0.5</v>
      </c>
      <c r="IA65" s="66">
        <f t="shared" si="59"/>
        <v>0</v>
      </c>
      <c r="IB65" s="16">
        <f t="shared" si="59"/>
        <v>0</v>
      </c>
      <c r="IC65" s="59">
        <f t="shared" si="60"/>
        <v>13500</v>
      </c>
      <c r="ID65" s="129">
        <f>714.29+12986.96</f>
        <v>13701.25</v>
      </c>
      <c r="IE65" s="68">
        <v>0.5</v>
      </c>
      <c r="IF65" s="12"/>
      <c r="IG65" s="15"/>
      <c r="IH65" s="15">
        <v>0.5</v>
      </c>
      <c r="II65" s="15"/>
      <c r="IJ65" s="15"/>
      <c r="IK65" s="15"/>
      <c r="IL65" s="15"/>
      <c r="IM65" s="15"/>
      <c r="IN65" s="15"/>
      <c r="IO65" s="61">
        <f t="shared" si="61"/>
        <v>0</v>
      </c>
      <c r="IP65" s="66">
        <f t="shared" si="62"/>
        <v>0</v>
      </c>
      <c r="IQ65" s="12">
        <f t="shared" si="63"/>
        <v>0</v>
      </c>
      <c r="IR65" s="12">
        <f t="shared" si="64"/>
        <v>13701.25</v>
      </c>
      <c r="IS65" s="12">
        <f t="shared" si="65"/>
        <v>0</v>
      </c>
      <c r="IT65" s="12">
        <f t="shared" si="66"/>
        <v>0</v>
      </c>
      <c r="IU65" s="12">
        <f t="shared" si="67"/>
        <v>0</v>
      </c>
      <c r="IV65" s="12">
        <f t="shared" si="68"/>
        <v>0</v>
      </c>
      <c r="IW65" s="15">
        <f t="shared" si="69"/>
        <v>0</v>
      </c>
      <c r="IX65" s="16">
        <f t="shared" si="69"/>
        <v>0</v>
      </c>
      <c r="IY65" s="59">
        <f t="shared" si="70"/>
        <v>0</v>
      </c>
      <c r="IZ65" s="129">
        <v>15000</v>
      </c>
      <c r="JA65" s="68">
        <v>0.5</v>
      </c>
      <c r="JB65" s="12"/>
      <c r="JC65" s="15"/>
      <c r="JD65" s="15">
        <v>0.5</v>
      </c>
      <c r="JE65" s="15"/>
      <c r="JF65" s="15"/>
      <c r="JG65" s="15"/>
      <c r="JH65" s="15"/>
      <c r="JI65" s="15"/>
      <c r="JJ65" s="15"/>
      <c r="JK65" s="61">
        <f t="shared" si="295"/>
        <v>0</v>
      </c>
      <c r="JL65" s="66">
        <f t="shared" si="72"/>
        <v>0</v>
      </c>
      <c r="JM65" s="12">
        <f t="shared" si="276"/>
        <v>0</v>
      </c>
      <c r="JN65" s="12">
        <f t="shared" si="277"/>
        <v>15000</v>
      </c>
      <c r="JO65" s="12">
        <f t="shared" si="278"/>
        <v>0</v>
      </c>
      <c r="JP65" s="12">
        <f t="shared" si="279"/>
        <v>0</v>
      </c>
      <c r="JQ65" s="12">
        <f t="shared" si="280"/>
        <v>0</v>
      </c>
      <c r="JR65" s="12">
        <f t="shared" si="281"/>
        <v>0</v>
      </c>
      <c r="JS65" s="12">
        <f t="shared" si="282"/>
        <v>0</v>
      </c>
      <c r="JT65" s="16">
        <f t="shared" si="283"/>
        <v>0</v>
      </c>
      <c r="JU65" s="59">
        <f t="shared" si="81"/>
        <v>0</v>
      </c>
      <c r="JV65" s="129">
        <v>15000</v>
      </c>
      <c r="JW65" s="68">
        <v>0.5</v>
      </c>
      <c r="JX65" s="12"/>
      <c r="JY65" s="12"/>
      <c r="JZ65" s="15"/>
      <c r="KA65" s="15">
        <v>0.5</v>
      </c>
      <c r="KB65" s="15"/>
      <c r="KC65" s="15"/>
      <c r="KD65" s="15"/>
      <c r="KE65" s="15"/>
      <c r="KF65" s="15"/>
      <c r="KG65" s="61">
        <f t="shared" si="82"/>
        <v>0</v>
      </c>
      <c r="KH65" s="146">
        <f t="shared" si="83"/>
        <v>0</v>
      </c>
      <c r="KI65" s="12">
        <f t="shared" si="83"/>
        <v>0</v>
      </c>
      <c r="KJ65" s="12">
        <f t="shared" si="84"/>
        <v>0</v>
      </c>
      <c r="KK65" s="12">
        <f t="shared" si="85"/>
        <v>15000</v>
      </c>
      <c r="KL65" s="12">
        <f t="shared" si="86"/>
        <v>0</v>
      </c>
      <c r="KM65" s="12">
        <f t="shared" si="87"/>
        <v>0</v>
      </c>
      <c r="KN65" s="12">
        <f t="shared" si="88"/>
        <v>0</v>
      </c>
      <c r="KO65" s="12">
        <f t="shared" si="89"/>
        <v>0</v>
      </c>
      <c r="KP65" s="16">
        <f t="shared" si="90"/>
        <v>0</v>
      </c>
      <c r="KQ65" s="59">
        <f t="shared" si="91"/>
        <v>0</v>
      </c>
      <c r="KR65" s="129">
        <v>15000</v>
      </c>
      <c r="KS65" s="68">
        <v>0.5</v>
      </c>
      <c r="KT65" s="12"/>
      <c r="KU65" s="15"/>
      <c r="KV65" s="15">
        <v>0.5</v>
      </c>
      <c r="KW65" s="15"/>
      <c r="KX65" s="15"/>
      <c r="KY65" s="15"/>
      <c r="KZ65" s="15"/>
      <c r="LA65" s="15"/>
      <c r="LB65" s="61">
        <f t="shared" si="92"/>
        <v>0</v>
      </c>
      <c r="LC65" s="66">
        <f t="shared" si="93"/>
        <v>0</v>
      </c>
      <c r="LD65" s="12">
        <f t="shared" si="94"/>
        <v>0</v>
      </c>
      <c r="LE65" s="12">
        <f t="shared" si="95"/>
        <v>15000</v>
      </c>
      <c r="LF65" s="12">
        <f t="shared" si="96"/>
        <v>0</v>
      </c>
      <c r="LG65" s="12">
        <f t="shared" si="97"/>
        <v>0</v>
      </c>
      <c r="LH65" s="12">
        <f t="shared" si="98"/>
        <v>0</v>
      </c>
      <c r="LI65" s="12">
        <f t="shared" si="99"/>
        <v>0</v>
      </c>
      <c r="LJ65" s="16">
        <f t="shared" si="100"/>
        <v>0</v>
      </c>
      <c r="LK65" s="59">
        <f t="shared" si="101"/>
        <v>0</v>
      </c>
      <c r="LL65" s="129">
        <v>15000</v>
      </c>
      <c r="LM65" s="68">
        <v>0.5</v>
      </c>
      <c r="LN65" s="15">
        <v>0.25</v>
      </c>
      <c r="LO65" s="15">
        <v>0.25</v>
      </c>
      <c r="LP65" s="15"/>
      <c r="LQ65" s="15"/>
      <c r="LR65" s="15"/>
      <c r="LS65" s="15"/>
      <c r="LT65" s="15"/>
      <c r="LU65" s="61">
        <f t="shared" si="102"/>
        <v>0</v>
      </c>
      <c r="LV65" s="66">
        <f t="shared" si="103"/>
        <v>7500</v>
      </c>
      <c r="LW65" s="12">
        <f t="shared" si="104"/>
        <v>7500</v>
      </c>
      <c r="LX65" s="12">
        <f t="shared" si="105"/>
        <v>0</v>
      </c>
      <c r="LY65" s="12">
        <f t="shared" si="106"/>
        <v>0</v>
      </c>
      <c r="LZ65" s="12">
        <f t="shared" si="107"/>
        <v>0</v>
      </c>
      <c r="MA65" s="12">
        <f t="shared" si="108"/>
        <v>0</v>
      </c>
      <c r="MB65" s="16">
        <f t="shared" si="109"/>
        <v>0</v>
      </c>
      <c r="MC65" s="59">
        <f t="shared" si="110"/>
        <v>0</v>
      </c>
      <c r="MD65" s="129">
        <v>15000</v>
      </c>
      <c r="ME65" s="68">
        <v>0.5</v>
      </c>
      <c r="MF65" s="15">
        <v>0.5</v>
      </c>
      <c r="MG65" s="15"/>
      <c r="MH65" s="15"/>
      <c r="MI65" s="15"/>
      <c r="MJ65" s="15"/>
      <c r="MK65" s="15"/>
      <c r="ML65" s="15"/>
      <c r="MM65" s="61">
        <f t="shared" si="111"/>
        <v>0</v>
      </c>
      <c r="MN65" s="66">
        <f t="shared" si="112"/>
        <v>15000</v>
      </c>
      <c r="MO65" s="12">
        <f t="shared" si="113"/>
        <v>0</v>
      </c>
      <c r="MP65" s="12">
        <f t="shared" si="114"/>
        <v>0</v>
      </c>
      <c r="MQ65" s="12">
        <f t="shared" si="115"/>
        <v>0</v>
      </c>
      <c r="MR65" s="12">
        <f t="shared" si="116"/>
        <v>0</v>
      </c>
      <c r="MS65" s="12">
        <f t="shared" si="116"/>
        <v>0</v>
      </c>
      <c r="MT65" s="16">
        <f t="shared" si="117"/>
        <v>0</v>
      </c>
      <c r="MU65" s="59">
        <f t="shared" si="189"/>
        <v>0</v>
      </c>
      <c r="MV65" s="617">
        <v>15000</v>
      </c>
      <c r="MW65" s="619">
        <v>0.5</v>
      </c>
      <c r="MX65" s="15"/>
      <c r="MY65" s="15"/>
      <c r="MZ65" s="15"/>
      <c r="NA65" s="15"/>
      <c r="NB65" s="15"/>
      <c r="NC65" s="15"/>
      <c r="ND65" s="15"/>
      <c r="NE65" s="61">
        <f t="shared" si="118"/>
        <v>0.5</v>
      </c>
      <c r="NF65" s="66">
        <f t="shared" si="119"/>
        <v>0</v>
      </c>
      <c r="NG65" s="12">
        <f t="shared" si="120"/>
        <v>0</v>
      </c>
      <c r="NH65" s="12">
        <f t="shared" si="121"/>
        <v>0</v>
      </c>
      <c r="NI65" s="12">
        <f t="shared" si="122"/>
        <v>0</v>
      </c>
      <c r="NJ65" s="12">
        <f t="shared" si="123"/>
        <v>0</v>
      </c>
      <c r="NK65" s="12">
        <f t="shared" si="123"/>
        <v>0</v>
      </c>
      <c r="NL65" s="16">
        <f t="shared" si="124"/>
        <v>0</v>
      </c>
      <c r="NM65" s="59">
        <f t="shared" si="125"/>
        <v>15000</v>
      </c>
      <c r="NN65" s="617">
        <v>15000</v>
      </c>
      <c r="NO65" s="619">
        <v>0.5</v>
      </c>
      <c r="NP65" s="15"/>
      <c r="NQ65" s="15"/>
      <c r="NR65" s="15"/>
      <c r="NS65" s="15"/>
      <c r="NT65" s="15"/>
      <c r="NU65" s="61">
        <f t="shared" si="126"/>
        <v>0.5</v>
      </c>
      <c r="NV65" s="66">
        <f t="shared" si="190"/>
        <v>0</v>
      </c>
      <c r="NW65" s="12">
        <f t="shared" si="209"/>
        <v>0</v>
      </c>
      <c r="NX65" s="12">
        <f t="shared" si="210"/>
        <v>0</v>
      </c>
      <c r="NY65" s="12">
        <f t="shared" si="211"/>
        <v>0</v>
      </c>
      <c r="NZ65" s="16">
        <f t="shared" si="212"/>
        <v>0</v>
      </c>
      <c r="OA65" s="59">
        <f t="shared" si="131"/>
        <v>15000</v>
      </c>
      <c r="OB65" s="131">
        <v>15000</v>
      </c>
      <c r="OC65" s="133">
        <v>0.5</v>
      </c>
      <c r="OD65" s="15"/>
      <c r="OE65" s="15"/>
      <c r="OF65" s="15"/>
      <c r="OG65" s="15"/>
      <c r="OH65" s="15"/>
      <c r="OI65" s="61">
        <f t="shared" si="163"/>
        <v>0.5</v>
      </c>
      <c r="OJ65" s="66">
        <f t="shared" si="132"/>
        <v>0</v>
      </c>
      <c r="OK65" s="12">
        <f t="shared" si="133"/>
        <v>0</v>
      </c>
      <c r="OL65" s="12">
        <f t="shared" si="134"/>
        <v>0</v>
      </c>
      <c r="OM65" s="12">
        <f t="shared" si="135"/>
        <v>0</v>
      </c>
      <c r="ON65" s="16">
        <f t="shared" si="136"/>
        <v>0</v>
      </c>
      <c r="OO65" s="59">
        <f t="shared" si="137"/>
        <v>15000</v>
      </c>
      <c r="OP65" s="131">
        <v>15000</v>
      </c>
      <c r="OQ65" s="133">
        <v>0.5</v>
      </c>
      <c r="OR65" s="15"/>
      <c r="OS65" s="15"/>
      <c r="OT65" s="15"/>
      <c r="OU65" s="15"/>
      <c r="OV65" s="15"/>
      <c r="OW65" s="61">
        <f t="shared" si="138"/>
        <v>0.5</v>
      </c>
      <c r="OX65" s="66">
        <f t="shared" si="139"/>
        <v>0</v>
      </c>
      <c r="OY65" s="12">
        <f t="shared" si="140"/>
        <v>0</v>
      </c>
      <c r="OZ65" s="12">
        <f t="shared" si="141"/>
        <v>0</v>
      </c>
      <c r="PA65" s="12">
        <f t="shared" si="142"/>
        <v>0</v>
      </c>
      <c r="PB65" s="16">
        <f t="shared" si="143"/>
        <v>0</v>
      </c>
      <c r="PC65" s="59">
        <f t="shared" si="144"/>
        <v>15000</v>
      </c>
      <c r="PD65" s="131">
        <v>15000</v>
      </c>
      <c r="PE65" s="133">
        <v>0.5</v>
      </c>
      <c r="PF65" s="15"/>
      <c r="PG65" s="15"/>
      <c r="PH65" s="15"/>
      <c r="PI65" s="15"/>
      <c r="PJ65" s="15"/>
      <c r="PK65" s="61">
        <f t="shared" si="145"/>
        <v>0.5</v>
      </c>
      <c r="PL65" s="66">
        <f t="shared" si="174"/>
        <v>0</v>
      </c>
      <c r="PM65" s="12">
        <f t="shared" si="175"/>
        <v>0</v>
      </c>
      <c r="PN65" s="12">
        <f t="shared" si="176"/>
        <v>0</v>
      </c>
      <c r="PO65" s="12">
        <f t="shared" si="177"/>
        <v>0</v>
      </c>
      <c r="PP65" s="16">
        <f t="shared" si="178"/>
        <v>0</v>
      </c>
      <c r="PQ65" s="59">
        <f t="shared" si="150"/>
        <v>15000</v>
      </c>
      <c r="PS65" s="884">
        <f t="shared" si="151"/>
        <v>0</v>
      </c>
    </row>
    <row r="66" spans="2:435" x14ac:dyDescent="0.2">
      <c r="B66" s="24">
        <v>51</v>
      </c>
      <c r="C66" s="615" t="s">
        <v>294</v>
      </c>
      <c r="D66" s="26"/>
      <c r="E66" s="42"/>
      <c r="F66" s="31"/>
      <c r="G66" s="12"/>
      <c r="H66" s="12"/>
      <c r="I66" s="12"/>
      <c r="J66" s="12"/>
      <c r="K66" s="12"/>
      <c r="L66" s="15"/>
      <c r="M66" s="61"/>
      <c r="N66" s="31"/>
      <c r="O66" s="12"/>
      <c r="P66" s="12"/>
      <c r="Q66" s="12"/>
      <c r="R66" s="12"/>
      <c r="S66" s="12"/>
      <c r="T66" s="15"/>
      <c r="U66" s="59"/>
      <c r="V66" s="26"/>
      <c r="W66" s="42"/>
      <c r="X66" s="31"/>
      <c r="Y66" s="12"/>
      <c r="Z66" s="12"/>
      <c r="AA66" s="12"/>
      <c r="AB66" s="12"/>
      <c r="AC66" s="12"/>
      <c r="AD66" s="15"/>
      <c r="AE66" s="15"/>
      <c r="AF66" s="61"/>
      <c r="AG66" s="35"/>
      <c r="AH66" s="35"/>
      <c r="AI66" s="35"/>
      <c r="AJ66" s="35"/>
      <c r="AK66" s="35"/>
      <c r="AL66" s="35"/>
      <c r="AM66" s="35"/>
      <c r="AN66" s="35"/>
      <c r="AO66" s="62"/>
      <c r="AP66" s="26"/>
      <c r="AQ66" s="42"/>
      <c r="AR66" s="12"/>
      <c r="AS66" s="12"/>
      <c r="AT66" s="12"/>
      <c r="AU66" s="12"/>
      <c r="AV66" s="15"/>
      <c r="AW66" s="15"/>
      <c r="AX66" s="61"/>
      <c r="AY66" s="35"/>
      <c r="AZ66" s="35"/>
      <c r="BA66" s="35"/>
      <c r="BB66" s="35"/>
      <c r="BC66" s="35"/>
      <c r="BD66" s="34"/>
      <c r="BE66" s="59"/>
      <c r="BF66" s="26"/>
      <c r="BG66" s="42"/>
      <c r="BH66" s="12"/>
      <c r="BI66" s="12"/>
      <c r="BJ66" s="12"/>
      <c r="BK66" s="12"/>
      <c r="BL66" s="15"/>
      <c r="BM66" s="15"/>
      <c r="BN66" s="15"/>
      <c r="BO66" s="61"/>
      <c r="BP66" s="65"/>
      <c r="BQ66" s="33"/>
      <c r="BR66" s="33"/>
      <c r="BS66" s="33"/>
      <c r="BT66" s="33"/>
      <c r="BU66" s="33"/>
      <c r="BV66" s="34"/>
      <c r="BW66" s="59"/>
      <c r="BX66" s="69"/>
      <c r="BY66" s="68"/>
      <c r="BZ66" s="31"/>
      <c r="CA66" s="12"/>
      <c r="CB66" s="12"/>
      <c r="CC66" s="12"/>
      <c r="CD66" s="15"/>
      <c r="CE66" s="15"/>
      <c r="CF66" s="15"/>
      <c r="CG66" s="61"/>
      <c r="CH66" s="66"/>
      <c r="CI66" s="12"/>
      <c r="CJ66" s="12"/>
      <c r="CK66" s="12"/>
      <c r="CL66" s="12"/>
      <c r="CM66" s="12"/>
      <c r="CN66" s="16"/>
      <c r="CO66" s="59"/>
      <c r="CP66" s="69"/>
      <c r="CQ66" s="68"/>
      <c r="CR66" s="12"/>
      <c r="CS66" s="12"/>
      <c r="CT66" s="12"/>
      <c r="CU66" s="12"/>
      <c r="CV66" s="15"/>
      <c r="CW66" s="15"/>
      <c r="CX66" s="15"/>
      <c r="CY66" s="61"/>
      <c r="CZ66" s="66"/>
      <c r="DA66" s="12"/>
      <c r="DB66" s="12"/>
      <c r="DC66" s="12"/>
      <c r="DD66" s="12"/>
      <c r="DE66" s="12"/>
      <c r="DF66" s="16"/>
      <c r="DG66" s="59"/>
      <c r="DH66" s="69"/>
      <c r="DI66" s="68"/>
      <c r="DJ66" s="12"/>
      <c r="DK66" s="12"/>
      <c r="DL66" s="12"/>
      <c r="DM66" s="12"/>
      <c r="DN66" s="15"/>
      <c r="DO66" s="15"/>
      <c r="DP66" s="15"/>
      <c r="DQ66" s="61"/>
      <c r="DR66" s="66"/>
      <c r="DS66" s="12"/>
      <c r="DT66" s="12"/>
      <c r="DU66" s="12"/>
      <c r="DV66" s="12"/>
      <c r="DW66" s="12"/>
      <c r="DX66" s="16"/>
      <c r="DY66" s="59"/>
      <c r="DZ66" s="69"/>
      <c r="EA66" s="68"/>
      <c r="EB66" s="12"/>
      <c r="EC66" s="12"/>
      <c r="ED66" s="12"/>
      <c r="EE66" s="15"/>
      <c r="EF66" s="15"/>
      <c r="EG66" s="15"/>
      <c r="EH66" s="61"/>
      <c r="EI66" s="66"/>
      <c r="EJ66" s="12"/>
      <c r="EK66" s="12"/>
      <c r="EL66" s="12"/>
      <c r="EM66" s="12"/>
      <c r="EN66" s="16"/>
      <c r="EO66" s="59"/>
      <c r="EP66" s="69"/>
      <c r="EQ66" s="68"/>
      <c r="ER66" s="12"/>
      <c r="ES66" s="12"/>
      <c r="ET66" s="15"/>
      <c r="EU66" s="15"/>
      <c r="EV66" s="61"/>
      <c r="EW66" s="66"/>
      <c r="EX66" s="12"/>
      <c r="EY66" s="12"/>
      <c r="EZ66" s="16"/>
      <c r="FA66" s="59"/>
      <c r="FB66" s="69"/>
      <c r="FC66" s="68"/>
      <c r="FD66" s="12"/>
      <c r="FE66" s="15"/>
      <c r="FF66" s="15"/>
      <c r="FG66" s="61"/>
      <c r="FH66" s="66"/>
      <c r="FI66" s="12"/>
      <c r="FJ66" s="16"/>
      <c r="FK66" s="59"/>
      <c r="FL66" s="69"/>
      <c r="FM66" s="68"/>
      <c r="FN66" s="12"/>
      <c r="FO66" s="15"/>
      <c r="FP66" s="15"/>
      <c r="FQ66" s="15"/>
      <c r="FR66" s="15"/>
      <c r="FS66" s="61"/>
      <c r="FT66" s="66"/>
      <c r="FU66" s="12"/>
      <c r="FV66" s="12"/>
      <c r="FW66" s="12"/>
      <c r="FX66" s="16"/>
      <c r="FY66" s="59"/>
      <c r="FZ66" s="69"/>
      <c r="GA66" s="68"/>
      <c r="GB66" s="12"/>
      <c r="GC66" s="15"/>
      <c r="GD66" s="15"/>
      <c r="GE66" s="15"/>
      <c r="GF66" s="61"/>
      <c r="GG66" s="66"/>
      <c r="GH66" s="66"/>
      <c r="GI66" s="12"/>
      <c r="GJ66" s="12"/>
      <c r="GK66" s="31"/>
      <c r="GL66" s="123"/>
      <c r="GM66" s="410"/>
      <c r="GN66" s="414"/>
      <c r="GO66" s="68"/>
      <c r="GP66" s="12"/>
      <c r="GQ66" s="15"/>
      <c r="GR66" s="15"/>
      <c r="GS66" s="15"/>
      <c r="GT66" s="15"/>
      <c r="GU66" s="61"/>
      <c r="GV66" s="66"/>
      <c r="GW66" s="12"/>
      <c r="GX66" s="12"/>
      <c r="GY66" s="12"/>
      <c r="GZ66" s="16"/>
      <c r="HA66" s="59"/>
      <c r="HB66" s="69"/>
      <c r="HC66" s="68"/>
      <c r="HD66" s="12"/>
      <c r="HE66" s="15"/>
      <c r="HF66" s="15"/>
      <c r="HG66" s="15"/>
      <c r="HH66" s="15"/>
      <c r="HI66" s="15"/>
      <c r="HJ66" s="15"/>
      <c r="HK66" s="15"/>
      <c r="HL66" s="61"/>
      <c r="HM66" s="66"/>
      <c r="HN66" s="12"/>
      <c r="HO66" s="12"/>
      <c r="HP66" s="12"/>
      <c r="HQ66" s="12"/>
      <c r="HR66" s="12"/>
      <c r="HS66" s="12"/>
      <c r="HT66" s="16"/>
      <c r="HU66" s="59"/>
      <c r="HV66" s="69"/>
      <c r="HW66" s="68"/>
      <c r="HX66" s="12"/>
      <c r="HY66" s="15"/>
      <c r="HZ66" s="61"/>
      <c r="IA66" s="66"/>
      <c r="IB66" s="16"/>
      <c r="IC66" s="59"/>
      <c r="ID66" s="129"/>
      <c r="IE66" s="68"/>
      <c r="IF66" s="12"/>
      <c r="IG66" s="15"/>
      <c r="IH66" s="15"/>
      <c r="II66" s="15"/>
      <c r="IJ66" s="15"/>
      <c r="IK66" s="15"/>
      <c r="IL66" s="15"/>
      <c r="IM66" s="15"/>
      <c r="IN66" s="15"/>
      <c r="IO66" s="61"/>
      <c r="IP66" s="66"/>
      <c r="IQ66" s="12"/>
      <c r="IR66" s="12"/>
      <c r="IS66" s="12"/>
      <c r="IT66" s="12"/>
      <c r="IU66" s="12"/>
      <c r="IV66" s="12"/>
      <c r="IW66" s="15"/>
      <c r="IX66" s="16"/>
      <c r="IY66" s="59"/>
      <c r="IZ66" s="129"/>
      <c r="JA66" s="68"/>
      <c r="JB66" s="12"/>
      <c r="JC66" s="15"/>
      <c r="JD66" s="15"/>
      <c r="JE66" s="15"/>
      <c r="JF66" s="15"/>
      <c r="JG66" s="15"/>
      <c r="JH66" s="15"/>
      <c r="JI66" s="15"/>
      <c r="JJ66" s="15"/>
      <c r="JK66" s="61"/>
      <c r="JL66" s="66"/>
      <c r="JM66" s="12"/>
      <c r="JN66" s="12"/>
      <c r="JO66" s="12"/>
      <c r="JP66" s="12"/>
      <c r="JQ66" s="12"/>
      <c r="JR66" s="12"/>
      <c r="JS66" s="12"/>
      <c r="JT66" s="16"/>
      <c r="JU66" s="59"/>
      <c r="JV66" s="129"/>
      <c r="JW66" s="68"/>
      <c r="JX66" s="12"/>
      <c r="JY66" s="12"/>
      <c r="JZ66" s="15"/>
      <c r="KA66" s="15"/>
      <c r="KB66" s="15"/>
      <c r="KC66" s="15"/>
      <c r="KD66" s="15"/>
      <c r="KE66" s="15"/>
      <c r="KF66" s="15"/>
      <c r="KG66" s="61"/>
      <c r="KH66" s="146"/>
      <c r="KI66" s="12"/>
      <c r="KJ66" s="12"/>
      <c r="KK66" s="12"/>
      <c r="KL66" s="12"/>
      <c r="KM66" s="12"/>
      <c r="KN66" s="12"/>
      <c r="KO66" s="12"/>
      <c r="KP66" s="16"/>
      <c r="KQ66" s="59"/>
      <c r="KR66" s="129"/>
      <c r="KS66" s="68"/>
      <c r="KT66" s="12"/>
      <c r="KU66" s="15"/>
      <c r="KV66" s="15"/>
      <c r="KW66" s="15"/>
      <c r="KX66" s="15"/>
      <c r="KY66" s="15"/>
      <c r="KZ66" s="15"/>
      <c r="LA66" s="15"/>
      <c r="LB66" s="61"/>
      <c r="LC66" s="66"/>
      <c r="LD66" s="12"/>
      <c r="LE66" s="12"/>
      <c r="LF66" s="12"/>
      <c r="LG66" s="12"/>
      <c r="LH66" s="12"/>
      <c r="LI66" s="12"/>
      <c r="LJ66" s="16"/>
      <c r="LK66" s="59"/>
      <c r="LL66" s="129"/>
      <c r="LM66" s="68"/>
      <c r="LN66" s="15"/>
      <c r="LO66" s="15"/>
      <c r="LP66" s="15"/>
      <c r="LQ66" s="15"/>
      <c r="LR66" s="15"/>
      <c r="LS66" s="15"/>
      <c r="LT66" s="15"/>
      <c r="LU66" s="61"/>
      <c r="LV66" s="66"/>
      <c r="LW66" s="12"/>
      <c r="LX66" s="12"/>
      <c r="LY66" s="12"/>
      <c r="LZ66" s="12"/>
      <c r="MA66" s="12"/>
      <c r="MB66" s="16"/>
      <c r="MC66" s="59"/>
      <c r="MD66" s="129"/>
      <c r="ME66" s="68"/>
      <c r="MF66" s="15"/>
      <c r="MG66" s="15"/>
      <c r="MH66" s="15"/>
      <c r="MI66" s="15"/>
      <c r="MJ66" s="15"/>
      <c r="MK66" s="15"/>
      <c r="ML66" s="15"/>
      <c r="MM66" s="61">
        <f t="shared" si="111"/>
        <v>0</v>
      </c>
      <c r="MN66" s="66"/>
      <c r="MO66" s="12"/>
      <c r="MP66" s="12"/>
      <c r="MQ66" s="12"/>
      <c r="MR66" s="12"/>
      <c r="MS66" s="12"/>
      <c r="MT66" s="16"/>
      <c r="MU66" s="59"/>
      <c r="MV66" s="617">
        <v>66000</v>
      </c>
      <c r="MW66" s="619">
        <v>1</v>
      </c>
      <c r="MX66" s="15"/>
      <c r="MY66" s="15"/>
      <c r="MZ66" s="15"/>
      <c r="NA66" s="15"/>
      <c r="NB66" s="15"/>
      <c r="NC66" s="15"/>
      <c r="ND66" s="15"/>
      <c r="NE66" s="61">
        <f t="shared" si="118"/>
        <v>1</v>
      </c>
      <c r="NF66" s="66">
        <f t="shared" si="119"/>
        <v>0</v>
      </c>
      <c r="NG66" s="12">
        <f t="shared" si="120"/>
        <v>0</v>
      </c>
      <c r="NH66" s="12">
        <f t="shared" si="121"/>
        <v>0</v>
      </c>
      <c r="NI66" s="12">
        <f t="shared" si="122"/>
        <v>0</v>
      </c>
      <c r="NJ66" s="12">
        <f t="shared" si="123"/>
        <v>0</v>
      </c>
      <c r="NK66" s="12">
        <f t="shared" si="123"/>
        <v>0</v>
      </c>
      <c r="NL66" s="16">
        <f t="shared" si="124"/>
        <v>0</v>
      </c>
      <c r="NM66" s="59">
        <f t="shared" si="125"/>
        <v>66000</v>
      </c>
      <c r="NN66" s="617">
        <v>66000</v>
      </c>
      <c r="NO66" s="619">
        <v>1</v>
      </c>
      <c r="NP66" s="15"/>
      <c r="NQ66" s="15"/>
      <c r="NR66" s="15"/>
      <c r="NS66" s="15"/>
      <c r="NT66" s="15"/>
      <c r="NU66" s="61">
        <f t="shared" si="126"/>
        <v>1</v>
      </c>
      <c r="NV66" s="66">
        <f t="shared" si="190"/>
        <v>0</v>
      </c>
      <c r="NW66" s="12">
        <f t="shared" si="209"/>
        <v>0</v>
      </c>
      <c r="NX66" s="12">
        <f t="shared" si="210"/>
        <v>0</v>
      </c>
      <c r="NY66" s="12">
        <f t="shared" si="211"/>
        <v>0</v>
      </c>
      <c r="NZ66" s="16">
        <f t="shared" si="212"/>
        <v>0</v>
      </c>
      <c r="OA66" s="59">
        <f t="shared" si="131"/>
        <v>66000</v>
      </c>
      <c r="OB66" s="131">
        <v>66000</v>
      </c>
      <c r="OC66" s="133">
        <v>1</v>
      </c>
      <c r="OD66" s="15"/>
      <c r="OE66" s="15"/>
      <c r="OF66" s="15"/>
      <c r="OG66" s="15"/>
      <c r="OH66" s="15"/>
      <c r="OI66" s="61">
        <f t="shared" si="163"/>
        <v>1</v>
      </c>
      <c r="OJ66" s="66">
        <f t="shared" si="132"/>
        <v>0</v>
      </c>
      <c r="OK66" s="12">
        <f t="shared" si="133"/>
        <v>0</v>
      </c>
      <c r="OL66" s="12">
        <f t="shared" si="134"/>
        <v>0</v>
      </c>
      <c r="OM66" s="12">
        <f t="shared" si="135"/>
        <v>0</v>
      </c>
      <c r="ON66" s="16">
        <f t="shared" si="136"/>
        <v>0</v>
      </c>
      <c r="OO66" s="59">
        <f t="shared" si="137"/>
        <v>66000</v>
      </c>
      <c r="OP66" s="131">
        <v>66000</v>
      </c>
      <c r="OQ66" s="133">
        <v>1</v>
      </c>
      <c r="OR66" s="15"/>
      <c r="OS66" s="15"/>
      <c r="OT66" s="15"/>
      <c r="OU66" s="15"/>
      <c r="OV66" s="15"/>
      <c r="OW66" s="61">
        <f t="shared" si="138"/>
        <v>1</v>
      </c>
      <c r="OX66" s="66">
        <f t="shared" si="139"/>
        <v>0</v>
      </c>
      <c r="OY66" s="12">
        <f t="shared" si="140"/>
        <v>0</v>
      </c>
      <c r="OZ66" s="12">
        <f t="shared" si="141"/>
        <v>0</v>
      </c>
      <c r="PA66" s="12">
        <f t="shared" si="142"/>
        <v>0</v>
      </c>
      <c r="PB66" s="16">
        <f t="shared" si="143"/>
        <v>0</v>
      </c>
      <c r="PC66" s="59">
        <f t="shared" si="144"/>
        <v>66000</v>
      </c>
      <c r="PD66" s="131">
        <v>66000</v>
      </c>
      <c r="PE66" s="133">
        <v>1</v>
      </c>
      <c r="PF66" s="15"/>
      <c r="PG66" s="15"/>
      <c r="PH66" s="15"/>
      <c r="PI66" s="15"/>
      <c r="PJ66" s="15"/>
      <c r="PK66" s="61">
        <f t="shared" si="145"/>
        <v>1</v>
      </c>
      <c r="PL66" s="66">
        <f t="shared" si="174"/>
        <v>0</v>
      </c>
      <c r="PM66" s="12">
        <f t="shared" si="175"/>
        <v>0</v>
      </c>
      <c r="PN66" s="12">
        <f t="shared" si="176"/>
        <v>0</v>
      </c>
      <c r="PO66" s="12">
        <f t="shared" si="177"/>
        <v>0</v>
      </c>
      <c r="PP66" s="16">
        <f t="shared" si="178"/>
        <v>0</v>
      </c>
      <c r="PQ66" s="59">
        <f t="shared" si="150"/>
        <v>66000</v>
      </c>
      <c r="PS66" s="884">
        <f t="shared" si="151"/>
        <v>0</v>
      </c>
    </row>
    <row r="67" spans="2:435" x14ac:dyDescent="0.2">
      <c r="B67" s="24">
        <v>52</v>
      </c>
      <c r="C67" s="25" t="s">
        <v>35</v>
      </c>
      <c r="D67" s="26">
        <v>20000</v>
      </c>
      <c r="E67" s="42">
        <v>1</v>
      </c>
      <c r="F67" s="31">
        <v>1</v>
      </c>
      <c r="G67" s="12"/>
      <c r="H67" s="12"/>
      <c r="I67" s="12"/>
      <c r="J67" s="12"/>
      <c r="K67" s="12"/>
      <c r="L67" s="15"/>
      <c r="M67" s="61">
        <f>E67-F67-G67-H67-I67-J67-K67-L67</f>
        <v>0</v>
      </c>
      <c r="N67" s="31">
        <f t="shared" si="308"/>
        <v>20000</v>
      </c>
      <c r="O67" s="12">
        <f t="shared" si="308"/>
        <v>0</v>
      </c>
      <c r="P67" s="12">
        <f t="shared" si="308"/>
        <v>0</v>
      </c>
      <c r="Q67" s="12">
        <f t="shared" si="308"/>
        <v>0</v>
      </c>
      <c r="R67" s="12">
        <f t="shared" si="308"/>
        <v>0</v>
      </c>
      <c r="S67" s="12">
        <f t="shared" si="308"/>
        <v>0</v>
      </c>
      <c r="T67" s="15">
        <f t="shared" si="308"/>
        <v>0</v>
      </c>
      <c r="U67" s="59">
        <f t="shared" si="191"/>
        <v>0</v>
      </c>
      <c r="V67" s="26">
        <v>25000</v>
      </c>
      <c r="W67" s="42">
        <v>1</v>
      </c>
      <c r="X67" s="31">
        <v>1</v>
      </c>
      <c r="Y67" s="12"/>
      <c r="Z67" s="12"/>
      <c r="AA67" s="12"/>
      <c r="AB67" s="12"/>
      <c r="AC67" s="12"/>
      <c r="AD67" s="15"/>
      <c r="AE67" s="15"/>
      <c r="AF67" s="61">
        <f t="shared" si="42"/>
        <v>0</v>
      </c>
      <c r="AG67" s="35">
        <f t="shared" si="43"/>
        <v>25000</v>
      </c>
      <c r="AH67" s="35">
        <f t="shared" si="43"/>
        <v>0</v>
      </c>
      <c r="AI67" s="35">
        <f t="shared" si="43"/>
        <v>0</v>
      </c>
      <c r="AJ67" s="35">
        <f t="shared" si="43"/>
        <v>0</v>
      </c>
      <c r="AK67" s="35">
        <f t="shared" si="43"/>
        <v>0</v>
      </c>
      <c r="AL67" s="35">
        <f t="shared" si="43"/>
        <v>0</v>
      </c>
      <c r="AM67" s="35">
        <f t="shared" si="43"/>
        <v>0</v>
      </c>
      <c r="AN67" s="35">
        <f t="shared" si="43"/>
        <v>0</v>
      </c>
      <c r="AO67" s="62">
        <f t="shared" si="44"/>
        <v>0</v>
      </c>
      <c r="AP67" s="26">
        <v>25000</v>
      </c>
      <c r="AQ67" s="42">
        <v>1</v>
      </c>
      <c r="AR67" s="12"/>
      <c r="AS67" s="12"/>
      <c r="AT67" s="12">
        <v>1</v>
      </c>
      <c r="AU67" s="12"/>
      <c r="AV67" s="15"/>
      <c r="AW67" s="15"/>
      <c r="AX67" s="61">
        <f t="shared" si="45"/>
        <v>0</v>
      </c>
      <c r="AY67" s="35">
        <f t="shared" si="273"/>
        <v>0</v>
      </c>
      <c r="AZ67" s="35">
        <f t="shared" si="273"/>
        <v>0</v>
      </c>
      <c r="BA67" s="35">
        <f t="shared" si="273"/>
        <v>25000</v>
      </c>
      <c r="BB67" s="35">
        <f t="shared" si="273"/>
        <v>0</v>
      </c>
      <c r="BC67" s="35">
        <f t="shared" si="273"/>
        <v>0</v>
      </c>
      <c r="BD67" s="34">
        <f t="shared" si="273"/>
        <v>0</v>
      </c>
      <c r="BE67" s="59">
        <f t="shared" si="46"/>
        <v>0</v>
      </c>
      <c r="BF67" s="26">
        <v>25000</v>
      </c>
      <c r="BG67" s="42">
        <v>1</v>
      </c>
      <c r="BH67" s="12">
        <v>0.25</v>
      </c>
      <c r="BI67" s="12"/>
      <c r="BJ67" s="12">
        <v>0.75</v>
      </c>
      <c r="BK67" s="12"/>
      <c r="BL67" s="15"/>
      <c r="BM67" s="15"/>
      <c r="BN67" s="15"/>
      <c r="BO67" s="61">
        <f>BG67-BH67-BI67-BJ67-BK67-BL67-BM67-BN67</f>
        <v>0</v>
      </c>
      <c r="BP67" s="65">
        <f t="shared" si="274"/>
        <v>6250</v>
      </c>
      <c r="BQ67" s="33">
        <f t="shared" si="274"/>
        <v>0</v>
      </c>
      <c r="BR67" s="33">
        <f t="shared" si="274"/>
        <v>18750</v>
      </c>
      <c r="BS67" s="33">
        <f t="shared" si="274"/>
        <v>0</v>
      </c>
      <c r="BT67" s="33">
        <f t="shared" si="274"/>
        <v>0</v>
      </c>
      <c r="BU67" s="33">
        <f t="shared" si="274"/>
        <v>0</v>
      </c>
      <c r="BV67" s="34">
        <f t="shared" si="274"/>
        <v>0</v>
      </c>
      <c r="BW67" s="59">
        <f t="shared" si="192"/>
        <v>0</v>
      </c>
      <c r="BX67" s="69">
        <v>23051.9</v>
      </c>
      <c r="BY67" s="68">
        <v>1</v>
      </c>
      <c r="BZ67" s="31"/>
      <c r="CA67" s="12"/>
      <c r="CB67" s="12">
        <v>0.5</v>
      </c>
      <c r="CC67" s="12"/>
      <c r="CD67" s="15"/>
      <c r="CE67" s="15">
        <v>0.5</v>
      </c>
      <c r="CF67" s="15"/>
      <c r="CG67" s="61">
        <f>BY67-BZ67-CA67-CB67-CC67-CD67-CE67-CF67</f>
        <v>0</v>
      </c>
      <c r="CH67" s="66">
        <f t="shared" si="47"/>
        <v>0</v>
      </c>
      <c r="CI67" s="12">
        <f t="shared" si="47"/>
        <v>0</v>
      </c>
      <c r="CJ67" s="12">
        <f t="shared" si="47"/>
        <v>11525.95</v>
      </c>
      <c r="CK67" s="12">
        <f t="shared" si="47"/>
        <v>0</v>
      </c>
      <c r="CL67" s="12">
        <f t="shared" si="47"/>
        <v>0</v>
      </c>
      <c r="CM67" s="12">
        <f t="shared" si="47"/>
        <v>11525.95</v>
      </c>
      <c r="CN67" s="16">
        <f t="shared" si="47"/>
        <v>0</v>
      </c>
      <c r="CO67" s="59">
        <f t="shared" si="193"/>
        <v>0</v>
      </c>
      <c r="CP67" s="69">
        <v>25000</v>
      </c>
      <c r="CQ67" s="68">
        <v>1</v>
      </c>
      <c r="CR67" s="12"/>
      <c r="CS67" s="12"/>
      <c r="CT67" s="12">
        <v>0.4</v>
      </c>
      <c r="CU67" s="12"/>
      <c r="CV67" s="15">
        <v>0.2</v>
      </c>
      <c r="CW67" s="15">
        <v>0.4</v>
      </c>
      <c r="CX67" s="15"/>
      <c r="CY67" s="61">
        <f>CQ67-CR67-CS67-CT67-CU67-CV67-CW67-CX67</f>
        <v>0</v>
      </c>
      <c r="CZ67" s="66">
        <f t="shared" si="194"/>
        <v>0</v>
      </c>
      <c r="DA67" s="12">
        <f t="shared" si="194"/>
        <v>0</v>
      </c>
      <c r="DB67" s="12">
        <f t="shared" si="194"/>
        <v>10000</v>
      </c>
      <c r="DC67" s="12">
        <f t="shared" si="194"/>
        <v>0</v>
      </c>
      <c r="DD67" s="12">
        <f t="shared" si="194"/>
        <v>5000</v>
      </c>
      <c r="DE67" s="12">
        <f t="shared" si="194"/>
        <v>10000</v>
      </c>
      <c r="DF67" s="16">
        <f t="shared" si="194"/>
        <v>0</v>
      </c>
      <c r="DG67" s="59">
        <f t="shared" si="195"/>
        <v>0</v>
      </c>
      <c r="DH67" s="69">
        <f>13095.24+10449.88</f>
        <v>23545.119999999999</v>
      </c>
      <c r="DI67" s="68">
        <v>1</v>
      </c>
      <c r="DJ67" s="12"/>
      <c r="DK67" s="12"/>
      <c r="DL67" s="12">
        <v>0.4</v>
      </c>
      <c r="DM67" s="12"/>
      <c r="DN67" s="15">
        <v>0.2</v>
      </c>
      <c r="DO67" s="15">
        <v>0.4</v>
      </c>
      <c r="DP67" s="15"/>
      <c r="DQ67" s="61">
        <f t="shared" si="9"/>
        <v>0</v>
      </c>
      <c r="DR67" s="66">
        <f t="shared" si="48"/>
        <v>0</v>
      </c>
      <c r="DS67" s="12">
        <f t="shared" si="48"/>
        <v>0</v>
      </c>
      <c r="DT67" s="12">
        <f t="shared" si="48"/>
        <v>9418.0499999999993</v>
      </c>
      <c r="DU67" s="12">
        <f t="shared" si="48"/>
        <v>0</v>
      </c>
      <c r="DV67" s="12">
        <f t="shared" si="48"/>
        <v>4709.0200000000004</v>
      </c>
      <c r="DW67" s="12">
        <f t="shared" si="48"/>
        <v>9418.0499999999993</v>
      </c>
      <c r="DX67" s="16">
        <f t="shared" si="48"/>
        <v>0</v>
      </c>
      <c r="DY67" s="59">
        <f t="shared" si="196"/>
        <v>0</v>
      </c>
      <c r="DZ67" s="69">
        <v>25000</v>
      </c>
      <c r="EA67" s="68">
        <v>1</v>
      </c>
      <c r="EB67" s="12"/>
      <c r="EC67" s="12"/>
      <c r="ED67" s="12">
        <v>0.3</v>
      </c>
      <c r="EE67" s="15">
        <v>0.3</v>
      </c>
      <c r="EF67" s="15">
        <v>0.4</v>
      </c>
      <c r="EG67" s="15"/>
      <c r="EH67" s="61">
        <f t="shared" si="197"/>
        <v>0</v>
      </c>
      <c r="EI67" s="66">
        <f t="shared" si="275"/>
        <v>0</v>
      </c>
      <c r="EJ67" s="12">
        <f t="shared" si="275"/>
        <v>0</v>
      </c>
      <c r="EK67" s="12">
        <f t="shared" si="275"/>
        <v>7500</v>
      </c>
      <c r="EL67" s="12">
        <f t="shared" si="275"/>
        <v>7500</v>
      </c>
      <c r="EM67" s="12">
        <f t="shared" si="275"/>
        <v>10000</v>
      </c>
      <c r="EN67" s="16">
        <f t="shared" si="275"/>
        <v>0</v>
      </c>
      <c r="EO67" s="59">
        <f t="shared" si="198"/>
        <v>0</v>
      </c>
      <c r="EP67" s="69">
        <v>25000</v>
      </c>
      <c r="EQ67" s="68">
        <v>1</v>
      </c>
      <c r="ER67" s="12"/>
      <c r="ES67" s="12"/>
      <c r="ET67" s="15">
        <v>1</v>
      </c>
      <c r="EU67" s="15"/>
      <c r="EV67" s="61">
        <f t="shared" si="199"/>
        <v>0</v>
      </c>
      <c r="EW67" s="66">
        <f t="shared" si="49"/>
        <v>0</v>
      </c>
      <c r="EX67" s="12">
        <f t="shared" si="49"/>
        <v>0</v>
      </c>
      <c r="EY67" s="12">
        <f t="shared" si="49"/>
        <v>25000</v>
      </c>
      <c r="EZ67" s="16">
        <f t="shared" si="49"/>
        <v>0</v>
      </c>
      <c r="FA67" s="59">
        <f t="shared" si="200"/>
        <v>0</v>
      </c>
      <c r="FB67" s="69">
        <v>25000</v>
      </c>
      <c r="FC67" s="68">
        <v>1</v>
      </c>
      <c r="FD67" s="12"/>
      <c r="FE67" s="15">
        <v>1</v>
      </c>
      <c r="FF67" s="15"/>
      <c r="FG67" s="61">
        <f t="shared" si="201"/>
        <v>0</v>
      </c>
      <c r="FH67" s="66">
        <f t="shared" si="50"/>
        <v>0</v>
      </c>
      <c r="FI67" s="12">
        <f t="shared" si="50"/>
        <v>25000</v>
      </c>
      <c r="FJ67" s="16">
        <f t="shared" si="50"/>
        <v>0</v>
      </c>
      <c r="FK67" s="59">
        <f t="shared" si="202"/>
        <v>0</v>
      </c>
      <c r="FL67" s="69">
        <f>19047.62+5934.11</f>
        <v>24981.73</v>
      </c>
      <c r="FM67" s="68">
        <v>1</v>
      </c>
      <c r="FN67" s="12"/>
      <c r="FO67" s="15">
        <v>1</v>
      </c>
      <c r="FP67" s="15"/>
      <c r="FQ67" s="15"/>
      <c r="FR67" s="15"/>
      <c r="FS67" s="61">
        <f t="shared" si="203"/>
        <v>0</v>
      </c>
      <c r="FT67" s="66">
        <f t="shared" si="309"/>
        <v>0</v>
      </c>
      <c r="FU67" s="12">
        <f t="shared" si="309"/>
        <v>24981.73</v>
      </c>
      <c r="FV67" s="12">
        <f t="shared" si="206"/>
        <v>0</v>
      </c>
      <c r="FW67" s="12">
        <f t="shared" si="207"/>
        <v>0</v>
      </c>
      <c r="FX67" s="16">
        <f t="shared" si="51"/>
        <v>0</v>
      </c>
      <c r="FY67" s="59">
        <f t="shared" si="52"/>
        <v>0</v>
      </c>
      <c r="FZ67" s="69">
        <v>25000</v>
      </c>
      <c r="GA67" s="68">
        <v>1</v>
      </c>
      <c r="GB67" s="12"/>
      <c r="GC67" s="15">
        <v>1</v>
      </c>
      <c r="GD67" s="15"/>
      <c r="GE67" s="15"/>
      <c r="GF67" s="61">
        <f t="shared" si="208"/>
        <v>0</v>
      </c>
      <c r="GG67" s="66">
        <f t="shared" si="53"/>
        <v>0</v>
      </c>
      <c r="GH67" s="66">
        <f>IF($GA67&lt;&gt;0,GB67*$FZ67/$GA67,0)</f>
        <v>0</v>
      </c>
      <c r="GI67" s="12">
        <f t="shared" si="289"/>
        <v>25000</v>
      </c>
      <c r="GJ67" s="12">
        <f t="shared" si="179"/>
        <v>25000</v>
      </c>
      <c r="GK67" s="31">
        <f t="shared" si="290"/>
        <v>0</v>
      </c>
      <c r="GL67" s="123">
        <f t="shared" si="291"/>
        <v>0</v>
      </c>
      <c r="GM67" s="410">
        <f t="shared" si="16"/>
        <v>0</v>
      </c>
      <c r="GN67" s="414">
        <v>25000</v>
      </c>
      <c r="GO67" s="68">
        <v>1</v>
      </c>
      <c r="GP67" s="12"/>
      <c r="GQ67" s="15">
        <v>1</v>
      </c>
      <c r="GR67" s="15"/>
      <c r="GS67" s="15"/>
      <c r="GT67" s="15"/>
      <c r="GU67" s="61">
        <f t="shared" si="54"/>
        <v>0</v>
      </c>
      <c r="GV67" s="66">
        <f t="shared" si="17"/>
        <v>0</v>
      </c>
      <c r="GW67" s="12">
        <f t="shared" si="18"/>
        <v>25000</v>
      </c>
      <c r="GX67" s="12">
        <f t="shared" si="19"/>
        <v>0</v>
      </c>
      <c r="GY67" s="12">
        <f t="shared" si="20"/>
        <v>0</v>
      </c>
      <c r="GZ67" s="16">
        <f t="shared" si="21"/>
        <v>0</v>
      </c>
      <c r="HA67" s="59">
        <f t="shared" si="55"/>
        <v>0</v>
      </c>
      <c r="HB67" s="69">
        <v>66000</v>
      </c>
      <c r="HC67" s="68">
        <v>1</v>
      </c>
      <c r="HD67" s="12"/>
      <c r="HE67" s="15">
        <v>1</v>
      </c>
      <c r="HF67" s="15"/>
      <c r="HG67" s="15"/>
      <c r="HH67" s="15"/>
      <c r="HI67" s="15"/>
      <c r="HJ67" s="15"/>
      <c r="HK67" s="15"/>
      <c r="HL67" s="61">
        <f t="shared" si="56"/>
        <v>0</v>
      </c>
      <c r="HM67" s="66">
        <f t="shared" si="22"/>
        <v>0</v>
      </c>
      <c r="HN67" s="12">
        <f t="shared" si="23"/>
        <v>66000</v>
      </c>
      <c r="HO67" s="12">
        <f t="shared" si="24"/>
        <v>0</v>
      </c>
      <c r="HP67" s="12">
        <f t="shared" si="25"/>
        <v>0</v>
      </c>
      <c r="HQ67" s="12">
        <f t="shared" si="26"/>
        <v>0</v>
      </c>
      <c r="HR67" s="12">
        <f t="shared" si="27"/>
        <v>0</v>
      </c>
      <c r="HS67" s="12">
        <f t="shared" si="28"/>
        <v>0</v>
      </c>
      <c r="HT67" s="16">
        <f t="shared" si="29"/>
        <v>0</v>
      </c>
      <c r="HU67" s="59">
        <f t="shared" si="57"/>
        <v>0</v>
      </c>
      <c r="HV67" s="69">
        <v>25000</v>
      </c>
      <c r="HW67" s="68">
        <v>1</v>
      </c>
      <c r="HX67" s="12"/>
      <c r="HY67" s="15"/>
      <c r="HZ67" s="61">
        <f t="shared" si="58"/>
        <v>1</v>
      </c>
      <c r="IA67" s="66">
        <f t="shared" si="59"/>
        <v>0</v>
      </c>
      <c r="IB67" s="16">
        <f t="shared" si="59"/>
        <v>0</v>
      </c>
      <c r="IC67" s="59">
        <f t="shared" si="60"/>
        <v>25000</v>
      </c>
      <c r="ID67" s="69">
        <v>66000</v>
      </c>
      <c r="IE67" s="68">
        <v>1</v>
      </c>
      <c r="IF67" s="12"/>
      <c r="IG67" s="15">
        <v>1</v>
      </c>
      <c r="IH67" s="15"/>
      <c r="II67" s="15"/>
      <c r="IJ67" s="15"/>
      <c r="IK67" s="15"/>
      <c r="IL67" s="15"/>
      <c r="IM67" s="15"/>
      <c r="IN67" s="15"/>
      <c r="IO67" s="61">
        <f t="shared" si="61"/>
        <v>0</v>
      </c>
      <c r="IP67" s="66">
        <f t="shared" si="62"/>
        <v>0</v>
      </c>
      <c r="IQ67" s="12">
        <f t="shared" si="63"/>
        <v>66000</v>
      </c>
      <c r="IR67" s="12">
        <f t="shared" si="64"/>
        <v>0</v>
      </c>
      <c r="IS67" s="12">
        <f t="shared" si="65"/>
        <v>0</v>
      </c>
      <c r="IT67" s="12">
        <f t="shared" si="66"/>
        <v>0</v>
      </c>
      <c r="IU67" s="12">
        <f t="shared" si="67"/>
        <v>0</v>
      </c>
      <c r="IV67" s="12">
        <f t="shared" si="68"/>
        <v>0</v>
      </c>
      <c r="IW67" s="15">
        <f t="shared" si="69"/>
        <v>0</v>
      </c>
      <c r="IX67" s="16">
        <f t="shared" si="69"/>
        <v>0</v>
      </c>
      <c r="IY67" s="59">
        <f t="shared" si="70"/>
        <v>0</v>
      </c>
      <c r="IZ67" s="69">
        <v>66000</v>
      </c>
      <c r="JA67" s="68">
        <v>1</v>
      </c>
      <c r="JB67" s="12"/>
      <c r="JC67" s="15">
        <v>1</v>
      </c>
      <c r="JD67" s="15"/>
      <c r="JE67" s="15"/>
      <c r="JF67" s="15"/>
      <c r="JG67" s="15"/>
      <c r="JH67" s="15"/>
      <c r="JI67" s="15"/>
      <c r="JJ67" s="15"/>
      <c r="JK67" s="61">
        <f t="shared" si="295"/>
        <v>0</v>
      </c>
      <c r="JL67" s="66">
        <f t="shared" si="72"/>
        <v>0</v>
      </c>
      <c r="JM67" s="12">
        <f t="shared" si="276"/>
        <v>66000</v>
      </c>
      <c r="JN67" s="12">
        <f t="shared" si="277"/>
        <v>0</v>
      </c>
      <c r="JO67" s="12">
        <f t="shared" si="278"/>
        <v>0</v>
      </c>
      <c r="JP67" s="12">
        <f t="shared" si="279"/>
        <v>0</v>
      </c>
      <c r="JQ67" s="12">
        <f t="shared" si="280"/>
        <v>0</v>
      </c>
      <c r="JR67" s="12">
        <f t="shared" si="281"/>
        <v>0</v>
      </c>
      <c r="JS67" s="12">
        <f t="shared" si="282"/>
        <v>0</v>
      </c>
      <c r="JT67" s="16">
        <f t="shared" si="283"/>
        <v>0</v>
      </c>
      <c r="JU67" s="59">
        <f t="shared" si="81"/>
        <v>0</v>
      </c>
      <c r="JV67" s="69">
        <v>66000</v>
      </c>
      <c r="JW67" s="68">
        <v>1</v>
      </c>
      <c r="JX67" s="12"/>
      <c r="JY67" s="12"/>
      <c r="JZ67" s="15"/>
      <c r="KA67" s="15"/>
      <c r="KB67" s="15"/>
      <c r="KC67" s="15">
        <v>1</v>
      </c>
      <c r="KD67" s="15"/>
      <c r="KE67" s="15"/>
      <c r="KF67" s="15"/>
      <c r="KG67" s="61">
        <f t="shared" si="82"/>
        <v>0</v>
      </c>
      <c r="KH67" s="146">
        <f t="shared" si="83"/>
        <v>0</v>
      </c>
      <c r="KI67" s="12">
        <f t="shared" si="83"/>
        <v>0</v>
      </c>
      <c r="KJ67" s="12">
        <f t="shared" si="84"/>
        <v>0</v>
      </c>
      <c r="KK67" s="12">
        <f t="shared" si="85"/>
        <v>0</v>
      </c>
      <c r="KL67" s="12">
        <f t="shared" si="86"/>
        <v>0</v>
      </c>
      <c r="KM67" s="12">
        <f t="shared" si="87"/>
        <v>66000</v>
      </c>
      <c r="KN67" s="12">
        <f t="shared" si="88"/>
        <v>0</v>
      </c>
      <c r="KO67" s="12">
        <f t="shared" si="89"/>
        <v>0</v>
      </c>
      <c r="KP67" s="16">
        <f t="shared" si="90"/>
        <v>0</v>
      </c>
      <c r="KQ67" s="59">
        <f t="shared" si="91"/>
        <v>0</v>
      </c>
      <c r="KR67" s="69">
        <v>66000</v>
      </c>
      <c r="KS67" s="68">
        <v>1</v>
      </c>
      <c r="KT67" s="12"/>
      <c r="KU67" s="15"/>
      <c r="KV67" s="15"/>
      <c r="KW67" s="15"/>
      <c r="KX67" s="15">
        <v>1</v>
      </c>
      <c r="KY67" s="15"/>
      <c r="KZ67" s="15"/>
      <c r="LA67" s="15"/>
      <c r="LB67" s="61">
        <f t="shared" si="92"/>
        <v>0</v>
      </c>
      <c r="LC67" s="66">
        <f t="shared" si="93"/>
        <v>0</v>
      </c>
      <c r="LD67" s="12">
        <f t="shared" si="94"/>
        <v>0</v>
      </c>
      <c r="LE67" s="12">
        <f t="shared" si="95"/>
        <v>0</v>
      </c>
      <c r="LF67" s="12">
        <f t="shared" si="96"/>
        <v>0</v>
      </c>
      <c r="LG67" s="12">
        <f t="shared" si="97"/>
        <v>66000</v>
      </c>
      <c r="LH67" s="12">
        <f t="shared" si="98"/>
        <v>0</v>
      </c>
      <c r="LI67" s="12">
        <f t="shared" si="99"/>
        <v>0</v>
      </c>
      <c r="LJ67" s="16">
        <f t="shared" si="100"/>
        <v>0</v>
      </c>
      <c r="LK67" s="59">
        <f t="shared" si="101"/>
        <v>0</v>
      </c>
      <c r="LL67" s="69">
        <v>64610.1</v>
      </c>
      <c r="LM67" s="68">
        <v>1</v>
      </c>
      <c r="LN67" s="15"/>
      <c r="LO67" s="15"/>
      <c r="LP67" s="15"/>
      <c r="LQ67" s="15">
        <v>1</v>
      </c>
      <c r="LR67" s="15"/>
      <c r="LS67" s="15"/>
      <c r="LT67" s="15"/>
      <c r="LU67" s="61">
        <f t="shared" si="102"/>
        <v>0</v>
      </c>
      <c r="LV67" s="66">
        <f t="shared" si="103"/>
        <v>0</v>
      </c>
      <c r="LW67" s="12">
        <f t="shared" si="104"/>
        <v>0</v>
      </c>
      <c r="LX67" s="12">
        <f t="shared" si="105"/>
        <v>0</v>
      </c>
      <c r="LY67" s="12">
        <f t="shared" si="106"/>
        <v>64610.1</v>
      </c>
      <c r="LZ67" s="12">
        <f t="shared" si="107"/>
        <v>0</v>
      </c>
      <c r="MA67" s="12">
        <f t="shared" si="108"/>
        <v>0</v>
      </c>
      <c r="MB67" s="16">
        <f t="shared" si="109"/>
        <v>0</v>
      </c>
      <c r="MC67" s="59">
        <f t="shared" si="110"/>
        <v>0</v>
      </c>
      <c r="MD67" s="69">
        <v>57391.3</v>
      </c>
      <c r="ME67" s="68">
        <v>1</v>
      </c>
      <c r="MF67" s="15"/>
      <c r="MG67" s="15"/>
      <c r="MH67" s="15">
        <v>1</v>
      </c>
      <c r="MI67" s="15"/>
      <c r="MJ67" s="15"/>
      <c r="MK67" s="15"/>
      <c r="ML67" s="15"/>
      <c r="MM67" s="61">
        <f t="shared" si="111"/>
        <v>0</v>
      </c>
      <c r="MN67" s="66">
        <f t="shared" si="112"/>
        <v>0</v>
      </c>
      <c r="MO67" s="12">
        <f t="shared" si="113"/>
        <v>0</v>
      </c>
      <c r="MP67" s="12">
        <f t="shared" si="114"/>
        <v>57391.3</v>
      </c>
      <c r="MQ67" s="12">
        <f t="shared" si="115"/>
        <v>0</v>
      </c>
      <c r="MR67" s="12">
        <f t="shared" si="116"/>
        <v>0</v>
      </c>
      <c r="MS67" s="12">
        <f t="shared" si="116"/>
        <v>0</v>
      </c>
      <c r="MT67" s="16">
        <f t="shared" si="117"/>
        <v>0</v>
      </c>
      <c r="MU67" s="59">
        <f t="shared" si="189"/>
        <v>0</v>
      </c>
      <c r="MV67" s="620">
        <v>66000</v>
      </c>
      <c r="MW67" s="619">
        <v>1</v>
      </c>
      <c r="MX67" s="15"/>
      <c r="MY67" s="15"/>
      <c r="MZ67" s="15">
        <v>1</v>
      </c>
      <c r="NA67" s="15"/>
      <c r="NB67" s="15"/>
      <c r="NC67" s="15"/>
      <c r="ND67" s="15"/>
      <c r="NE67" s="61">
        <f t="shared" si="118"/>
        <v>0</v>
      </c>
      <c r="NF67" s="66">
        <f t="shared" si="119"/>
        <v>0</v>
      </c>
      <c r="NG67" s="12">
        <f t="shared" si="120"/>
        <v>0</v>
      </c>
      <c r="NH67" s="12">
        <f t="shared" si="121"/>
        <v>66000</v>
      </c>
      <c r="NI67" s="12">
        <f t="shared" si="122"/>
        <v>0</v>
      </c>
      <c r="NJ67" s="12">
        <f t="shared" si="123"/>
        <v>0</v>
      </c>
      <c r="NK67" s="12">
        <f t="shared" si="123"/>
        <v>0</v>
      </c>
      <c r="NL67" s="16">
        <f t="shared" si="124"/>
        <v>0</v>
      </c>
      <c r="NM67" s="59">
        <f t="shared" si="125"/>
        <v>0</v>
      </c>
      <c r="NN67" s="620">
        <v>77000</v>
      </c>
      <c r="NO67" s="619">
        <v>1</v>
      </c>
      <c r="NP67" s="15"/>
      <c r="NQ67" s="15">
        <v>1</v>
      </c>
      <c r="NR67" s="15"/>
      <c r="NS67" s="15"/>
      <c r="NT67" s="15"/>
      <c r="NU67" s="61">
        <f t="shared" si="126"/>
        <v>0</v>
      </c>
      <c r="NV67" s="66">
        <f t="shared" si="190"/>
        <v>0</v>
      </c>
      <c r="NW67" s="12">
        <f>IF($NO67&lt;&gt;0,NQ67*$NN67/$NO67,0)</f>
        <v>77000</v>
      </c>
      <c r="NX67" s="12">
        <f t="shared" si="210"/>
        <v>0</v>
      </c>
      <c r="NY67" s="12">
        <f t="shared" si="211"/>
        <v>0</v>
      </c>
      <c r="NZ67" s="16">
        <f t="shared" si="212"/>
        <v>0</v>
      </c>
      <c r="OA67" s="59">
        <f t="shared" si="131"/>
        <v>0</v>
      </c>
      <c r="OB67" s="134">
        <v>77000</v>
      </c>
      <c r="OC67" s="133">
        <v>1</v>
      </c>
      <c r="OD67" s="15"/>
      <c r="OE67" s="15">
        <v>1</v>
      </c>
      <c r="OF67" s="15"/>
      <c r="OG67" s="15"/>
      <c r="OH67" s="15"/>
      <c r="OI67" s="61">
        <f t="shared" si="163"/>
        <v>0</v>
      </c>
      <c r="OJ67" s="66">
        <f t="shared" si="132"/>
        <v>0</v>
      </c>
      <c r="OK67" s="12">
        <f>IF($OC67&lt;&gt;0,OE67*$OB67/$OC67,0)</f>
        <v>77000</v>
      </c>
      <c r="OL67" s="12">
        <f t="shared" si="134"/>
        <v>0</v>
      </c>
      <c r="OM67" s="12">
        <f t="shared" si="135"/>
        <v>0</v>
      </c>
      <c r="ON67" s="16">
        <f t="shared" si="136"/>
        <v>0</v>
      </c>
      <c r="OO67" s="59">
        <f t="shared" si="137"/>
        <v>0</v>
      </c>
      <c r="OP67" s="134">
        <v>77000</v>
      </c>
      <c r="OQ67" s="133">
        <v>1</v>
      </c>
      <c r="OR67" s="15"/>
      <c r="OS67" s="15">
        <v>0.5</v>
      </c>
      <c r="OT67" s="15"/>
      <c r="OU67" s="15"/>
      <c r="OV67" s="15"/>
      <c r="OW67" s="61">
        <f t="shared" si="138"/>
        <v>0.5</v>
      </c>
      <c r="OX67" s="66">
        <f t="shared" si="139"/>
        <v>0</v>
      </c>
      <c r="OY67" s="12">
        <f>IF($OQ67&lt;&gt;0,OS67*$OP67/$OQ67,0)</f>
        <v>38500</v>
      </c>
      <c r="OZ67" s="12">
        <f t="shared" si="141"/>
        <v>0</v>
      </c>
      <c r="PA67" s="12">
        <f t="shared" si="142"/>
        <v>0</v>
      </c>
      <c r="PB67" s="16">
        <f t="shared" si="143"/>
        <v>0</v>
      </c>
      <c r="PC67" s="59">
        <f t="shared" si="144"/>
        <v>38500</v>
      </c>
      <c r="PD67" s="134">
        <v>77000</v>
      </c>
      <c r="PE67" s="133">
        <v>1</v>
      </c>
      <c r="PF67" s="15"/>
      <c r="PG67" s="15"/>
      <c r="PH67" s="15"/>
      <c r="PI67" s="15"/>
      <c r="PJ67" s="15"/>
      <c r="PK67" s="61">
        <f t="shared" si="145"/>
        <v>1</v>
      </c>
      <c r="PL67" s="66">
        <f t="shared" si="174"/>
        <v>0</v>
      </c>
      <c r="PM67" s="12">
        <f t="shared" si="175"/>
        <v>0</v>
      </c>
      <c r="PN67" s="12">
        <f t="shared" si="176"/>
        <v>0</v>
      </c>
      <c r="PO67" s="12">
        <f t="shared" si="177"/>
        <v>0</v>
      </c>
      <c r="PP67" s="16">
        <f t="shared" si="178"/>
        <v>0</v>
      </c>
      <c r="PQ67" s="59">
        <f t="shared" si="150"/>
        <v>77000</v>
      </c>
      <c r="PS67" s="884">
        <f t="shared" si="151"/>
        <v>0</v>
      </c>
    </row>
    <row r="68" spans="2:435" s="18" customFormat="1" ht="13.5" thickBot="1" x14ac:dyDescent="0.25">
      <c r="C68" s="28" t="s">
        <v>30</v>
      </c>
      <c r="D68" s="29">
        <f t="shared" ref="D68:BO68" si="310">SUM(D5:D67)</f>
        <v>939874.76</v>
      </c>
      <c r="E68" s="30">
        <f t="shared" si="310"/>
        <v>24.47</v>
      </c>
      <c r="F68" s="29">
        <f t="shared" si="310"/>
        <v>9</v>
      </c>
      <c r="G68" s="29">
        <f t="shared" si="310"/>
        <v>1.5</v>
      </c>
      <c r="H68" s="29">
        <f t="shared" si="310"/>
        <v>3</v>
      </c>
      <c r="I68" s="29">
        <f t="shared" si="310"/>
        <v>2</v>
      </c>
      <c r="J68" s="14">
        <f t="shared" si="310"/>
        <v>4</v>
      </c>
      <c r="K68" s="14">
        <f t="shared" si="310"/>
        <v>2</v>
      </c>
      <c r="L68" s="14">
        <f t="shared" si="310"/>
        <v>2.5</v>
      </c>
      <c r="M68" s="60">
        <f t="shared" si="310"/>
        <v>0.47</v>
      </c>
      <c r="N68" s="32">
        <f t="shared" si="310"/>
        <v>353731.21</v>
      </c>
      <c r="O68" s="14">
        <f t="shared" si="310"/>
        <v>50300</v>
      </c>
      <c r="P68" s="14">
        <f t="shared" si="310"/>
        <v>126300</v>
      </c>
      <c r="Q68" s="14">
        <f t="shared" si="310"/>
        <v>83250</v>
      </c>
      <c r="R68" s="14">
        <f t="shared" si="310"/>
        <v>149950</v>
      </c>
      <c r="S68" s="14">
        <f t="shared" si="310"/>
        <v>73525</v>
      </c>
      <c r="T68" s="14">
        <f t="shared" si="310"/>
        <v>90625</v>
      </c>
      <c r="U68" s="60">
        <f t="shared" si="310"/>
        <v>12193.55</v>
      </c>
      <c r="V68" s="29">
        <f t="shared" si="310"/>
        <v>1070931.69</v>
      </c>
      <c r="W68" s="13">
        <f t="shared" si="310"/>
        <v>24.15</v>
      </c>
      <c r="X68" s="32">
        <f t="shared" si="310"/>
        <v>4</v>
      </c>
      <c r="Y68" s="14">
        <f t="shared" si="310"/>
        <v>0.5</v>
      </c>
      <c r="Z68" s="14">
        <f t="shared" si="310"/>
        <v>2.5</v>
      </c>
      <c r="AA68" s="14">
        <f t="shared" si="310"/>
        <v>1</v>
      </c>
      <c r="AB68" s="14">
        <f t="shared" si="310"/>
        <v>3.05</v>
      </c>
      <c r="AC68" s="14">
        <f t="shared" si="310"/>
        <v>2</v>
      </c>
      <c r="AD68" s="14">
        <f t="shared" si="310"/>
        <v>2.5</v>
      </c>
      <c r="AE68" s="14">
        <f t="shared" si="310"/>
        <v>8.5</v>
      </c>
      <c r="AF68" s="60">
        <f t="shared" si="310"/>
        <v>0.1</v>
      </c>
      <c r="AG68" s="32">
        <f t="shared" si="310"/>
        <v>102000</v>
      </c>
      <c r="AH68" s="14">
        <f t="shared" si="310"/>
        <v>36850</v>
      </c>
      <c r="AI68" s="14">
        <f t="shared" si="310"/>
        <v>107683.48</v>
      </c>
      <c r="AJ68" s="14">
        <f t="shared" si="310"/>
        <v>41800</v>
      </c>
      <c r="AK68" s="14">
        <f t="shared" si="310"/>
        <v>118561.54</v>
      </c>
      <c r="AL68" s="14">
        <f t="shared" si="310"/>
        <v>88250</v>
      </c>
      <c r="AM68" s="14">
        <f t="shared" si="310"/>
        <v>114150</v>
      </c>
      <c r="AN68" s="14">
        <f t="shared" si="310"/>
        <v>457522.45</v>
      </c>
      <c r="AO68" s="60">
        <f t="shared" si="310"/>
        <v>4114.22</v>
      </c>
      <c r="AP68" s="29">
        <f t="shared" si="310"/>
        <v>1069723.52</v>
      </c>
      <c r="AQ68" s="13">
        <f t="shared" si="310"/>
        <v>23.79</v>
      </c>
      <c r="AR68" s="14">
        <f t="shared" si="310"/>
        <v>2</v>
      </c>
      <c r="AS68" s="14">
        <f t="shared" si="310"/>
        <v>1</v>
      </c>
      <c r="AT68" s="14">
        <f t="shared" si="310"/>
        <v>5.01</v>
      </c>
      <c r="AU68" s="14">
        <f t="shared" si="310"/>
        <v>2</v>
      </c>
      <c r="AV68" s="14">
        <f t="shared" si="310"/>
        <v>5</v>
      </c>
      <c r="AW68" s="14">
        <f t="shared" si="310"/>
        <v>8.6999999999999993</v>
      </c>
      <c r="AX68" s="60">
        <f t="shared" si="310"/>
        <v>0.08</v>
      </c>
      <c r="AY68" s="14">
        <f t="shared" si="310"/>
        <v>84200</v>
      </c>
      <c r="AZ68" s="14">
        <f t="shared" si="310"/>
        <v>41275</v>
      </c>
      <c r="BA68" s="14">
        <f t="shared" si="310"/>
        <v>216480.82</v>
      </c>
      <c r="BB68" s="14">
        <f t="shared" si="310"/>
        <v>85425</v>
      </c>
      <c r="BC68" s="14">
        <f t="shared" si="310"/>
        <v>190500</v>
      </c>
      <c r="BD68" s="13">
        <f t="shared" si="310"/>
        <v>448387.25</v>
      </c>
      <c r="BE68" s="60">
        <f t="shared" si="310"/>
        <v>3455.45</v>
      </c>
      <c r="BF68" s="29">
        <f t="shared" si="310"/>
        <v>1334890.1000000001</v>
      </c>
      <c r="BG68" s="13">
        <f t="shared" si="310"/>
        <v>26.43</v>
      </c>
      <c r="BH68" s="14">
        <f t="shared" si="310"/>
        <v>2</v>
      </c>
      <c r="BI68" s="14">
        <f t="shared" si="310"/>
        <v>1.5</v>
      </c>
      <c r="BJ68" s="14">
        <f t="shared" si="310"/>
        <v>5</v>
      </c>
      <c r="BK68" s="14">
        <f t="shared" si="310"/>
        <v>2</v>
      </c>
      <c r="BL68" s="14">
        <f t="shared" si="310"/>
        <v>5</v>
      </c>
      <c r="BM68" s="14">
        <f t="shared" si="310"/>
        <v>5.4</v>
      </c>
      <c r="BN68" s="14">
        <f t="shared" si="310"/>
        <v>5.5</v>
      </c>
      <c r="BO68" s="60">
        <f t="shared" si="310"/>
        <v>0.03</v>
      </c>
      <c r="BP68" s="14">
        <f t="shared" ref="BP68:EA68" si="311">SUM(BP5:BP67)</f>
        <v>86875</v>
      </c>
      <c r="BQ68" s="14">
        <f t="shared" si="311"/>
        <v>63700</v>
      </c>
      <c r="BR68" s="14">
        <f t="shared" si="311"/>
        <v>221700</v>
      </c>
      <c r="BS68" s="14">
        <f t="shared" si="311"/>
        <v>88450</v>
      </c>
      <c r="BT68" s="14">
        <f t="shared" si="311"/>
        <v>222448.93</v>
      </c>
      <c r="BU68" s="13">
        <f t="shared" si="311"/>
        <v>429446.72</v>
      </c>
      <c r="BV68" s="13">
        <f t="shared" si="311"/>
        <v>217350</v>
      </c>
      <c r="BW68" s="60">
        <f t="shared" si="311"/>
        <v>4919.45</v>
      </c>
      <c r="BX68" s="29">
        <f t="shared" si="311"/>
        <v>1029387.63</v>
      </c>
      <c r="BY68" s="13">
        <f t="shared" si="311"/>
        <v>23.84</v>
      </c>
      <c r="BZ68" s="14">
        <f t="shared" si="311"/>
        <v>1.5</v>
      </c>
      <c r="CA68" s="14">
        <f t="shared" si="311"/>
        <v>1.5</v>
      </c>
      <c r="CB68" s="14">
        <f t="shared" si="311"/>
        <v>6</v>
      </c>
      <c r="CC68" s="14">
        <f t="shared" si="311"/>
        <v>2</v>
      </c>
      <c r="CD68" s="14">
        <f t="shared" si="311"/>
        <v>5</v>
      </c>
      <c r="CE68" s="14">
        <f t="shared" si="311"/>
        <v>4.8</v>
      </c>
      <c r="CF68" s="14">
        <f t="shared" si="311"/>
        <v>3</v>
      </c>
      <c r="CG68" s="60">
        <f t="shared" si="311"/>
        <v>0.04</v>
      </c>
      <c r="CH68" s="14">
        <f t="shared" si="311"/>
        <v>62750</v>
      </c>
      <c r="CI68" s="14">
        <f t="shared" si="311"/>
        <v>59697.63</v>
      </c>
      <c r="CJ68" s="14">
        <f t="shared" si="311"/>
        <v>258969.65</v>
      </c>
      <c r="CK68" s="14">
        <f t="shared" si="311"/>
        <v>83755.88</v>
      </c>
      <c r="CL68" s="14">
        <f t="shared" si="311"/>
        <v>223288.2</v>
      </c>
      <c r="CM68" s="13">
        <f t="shared" si="311"/>
        <v>207012.63</v>
      </c>
      <c r="CN68" s="13">
        <f t="shared" si="311"/>
        <v>127101.14</v>
      </c>
      <c r="CO68" s="60">
        <f t="shared" si="311"/>
        <v>6812.5</v>
      </c>
      <c r="CP68" s="29">
        <f t="shared" si="311"/>
        <v>949763.53</v>
      </c>
      <c r="CQ68" s="13">
        <f t="shared" si="311"/>
        <v>24</v>
      </c>
      <c r="CR68" s="14">
        <f t="shared" si="311"/>
        <v>1.5</v>
      </c>
      <c r="CS68" s="14">
        <f t="shared" si="311"/>
        <v>1.5</v>
      </c>
      <c r="CT68" s="14">
        <f t="shared" si="311"/>
        <v>6</v>
      </c>
      <c r="CU68" s="14">
        <f t="shared" si="311"/>
        <v>1.5</v>
      </c>
      <c r="CV68" s="14">
        <f t="shared" si="311"/>
        <v>5</v>
      </c>
      <c r="CW68" s="14">
        <f t="shared" si="311"/>
        <v>3</v>
      </c>
      <c r="CX68" s="14">
        <f t="shared" si="311"/>
        <v>5.5</v>
      </c>
      <c r="CY68" s="60">
        <f t="shared" si="311"/>
        <v>0</v>
      </c>
      <c r="CZ68" s="14">
        <f t="shared" si="311"/>
        <v>63569.22</v>
      </c>
      <c r="DA68" s="14">
        <f t="shared" si="311"/>
        <v>60150</v>
      </c>
      <c r="DB68" s="14">
        <f t="shared" si="311"/>
        <v>251951.79</v>
      </c>
      <c r="DC68" s="14">
        <f t="shared" si="311"/>
        <v>63398.79</v>
      </c>
      <c r="DD68" s="14">
        <f t="shared" si="311"/>
        <v>216938.44</v>
      </c>
      <c r="DE68" s="13">
        <f t="shared" si="311"/>
        <v>95890.53</v>
      </c>
      <c r="DF68" s="13">
        <f t="shared" si="311"/>
        <v>197864.76</v>
      </c>
      <c r="DG68" s="60">
        <f t="shared" si="311"/>
        <v>0</v>
      </c>
      <c r="DH68" s="29">
        <f t="shared" si="311"/>
        <v>1028121.78</v>
      </c>
      <c r="DI68" s="13">
        <f t="shared" si="311"/>
        <v>26</v>
      </c>
      <c r="DJ68" s="14">
        <f t="shared" si="311"/>
        <v>1</v>
      </c>
      <c r="DK68" s="14">
        <f t="shared" si="311"/>
        <v>1.05</v>
      </c>
      <c r="DL68" s="14">
        <f t="shared" si="311"/>
        <v>6</v>
      </c>
      <c r="DM68" s="14">
        <f t="shared" si="311"/>
        <v>1.5</v>
      </c>
      <c r="DN68" s="14">
        <f t="shared" si="311"/>
        <v>4</v>
      </c>
      <c r="DO68" s="14">
        <f t="shared" si="311"/>
        <v>3.9</v>
      </c>
      <c r="DP68" s="14">
        <f t="shared" si="311"/>
        <v>8.5</v>
      </c>
      <c r="DQ68" s="60">
        <f t="shared" si="311"/>
        <v>0.05</v>
      </c>
      <c r="DR68" s="14">
        <f t="shared" si="311"/>
        <v>42400.11</v>
      </c>
      <c r="DS68" s="14">
        <f t="shared" si="311"/>
        <v>46068.19</v>
      </c>
      <c r="DT68" s="14">
        <f t="shared" si="311"/>
        <v>255935.19</v>
      </c>
      <c r="DU68" s="14">
        <f t="shared" si="311"/>
        <v>67568.28</v>
      </c>
      <c r="DV68" s="14">
        <f t="shared" si="311"/>
        <v>166372.45000000001</v>
      </c>
      <c r="DW68" s="13">
        <f t="shared" si="311"/>
        <v>116570.22</v>
      </c>
      <c r="DX68" s="13">
        <f t="shared" si="311"/>
        <v>331977.28999999998</v>
      </c>
      <c r="DY68" s="60">
        <f t="shared" si="311"/>
        <v>1230.05</v>
      </c>
      <c r="DZ68" s="29">
        <f t="shared" si="311"/>
        <v>1023979.57</v>
      </c>
      <c r="EA68" s="13">
        <f t="shared" si="311"/>
        <v>26</v>
      </c>
      <c r="EB68" s="14">
        <f t="shared" ref="EB68:GM68" si="312">SUM(EB5:EB67)</f>
        <v>5</v>
      </c>
      <c r="EC68" s="14">
        <f t="shared" si="312"/>
        <v>1</v>
      </c>
      <c r="ED68" s="14">
        <f t="shared" si="312"/>
        <v>1</v>
      </c>
      <c r="EE68" s="14">
        <f t="shared" si="312"/>
        <v>1</v>
      </c>
      <c r="EF68" s="14">
        <f t="shared" si="312"/>
        <v>10.5</v>
      </c>
      <c r="EG68" s="14">
        <f t="shared" si="312"/>
        <v>7.5</v>
      </c>
      <c r="EH68" s="60">
        <f t="shared" si="312"/>
        <v>0</v>
      </c>
      <c r="EI68" s="14">
        <f t="shared" si="312"/>
        <v>207304.6</v>
      </c>
      <c r="EJ68" s="14">
        <f t="shared" si="312"/>
        <v>42519.08</v>
      </c>
      <c r="EK68" s="14">
        <f t="shared" si="312"/>
        <v>40765.67</v>
      </c>
      <c r="EL68" s="14">
        <f t="shared" si="312"/>
        <v>40765.67</v>
      </c>
      <c r="EM68" s="13">
        <f t="shared" si="312"/>
        <v>397653.49</v>
      </c>
      <c r="EN68" s="13">
        <f t="shared" si="312"/>
        <v>294971.09000000003</v>
      </c>
      <c r="EO68" s="60">
        <f t="shared" si="312"/>
        <v>-0.03</v>
      </c>
      <c r="EP68" s="29">
        <f t="shared" si="312"/>
        <v>1073945.24</v>
      </c>
      <c r="EQ68" s="13">
        <f t="shared" si="312"/>
        <v>26.9</v>
      </c>
      <c r="ER68" s="14">
        <f t="shared" si="312"/>
        <v>5</v>
      </c>
      <c r="ES68" s="14">
        <f t="shared" si="312"/>
        <v>1</v>
      </c>
      <c r="ET68" s="14">
        <f t="shared" si="312"/>
        <v>12.9</v>
      </c>
      <c r="EU68" s="14">
        <f t="shared" si="312"/>
        <v>8</v>
      </c>
      <c r="EV68" s="60">
        <f t="shared" si="312"/>
        <v>0</v>
      </c>
      <c r="EW68" s="14">
        <f t="shared" si="312"/>
        <v>211100</v>
      </c>
      <c r="EX68" s="14">
        <f t="shared" si="312"/>
        <v>43850</v>
      </c>
      <c r="EY68" s="13">
        <f t="shared" si="312"/>
        <v>472842.04</v>
      </c>
      <c r="EZ68" s="13">
        <f t="shared" si="312"/>
        <v>346153.2</v>
      </c>
      <c r="FA68" s="60">
        <f t="shared" si="312"/>
        <v>0</v>
      </c>
      <c r="FB68" s="29">
        <f t="shared" si="312"/>
        <v>1114310.1499999999</v>
      </c>
      <c r="FC68" s="13">
        <f t="shared" si="312"/>
        <v>28.85</v>
      </c>
      <c r="FD68" s="14">
        <f t="shared" si="312"/>
        <v>7</v>
      </c>
      <c r="FE68" s="14">
        <f t="shared" si="312"/>
        <v>8.8000000000000007</v>
      </c>
      <c r="FF68" s="14">
        <f t="shared" si="312"/>
        <v>13</v>
      </c>
      <c r="FG68" s="60">
        <f t="shared" si="312"/>
        <v>0.05</v>
      </c>
      <c r="FH68" s="14">
        <f t="shared" si="312"/>
        <v>283960.09999999998</v>
      </c>
      <c r="FI68" s="13">
        <f t="shared" si="312"/>
        <v>227684.1</v>
      </c>
      <c r="FJ68" s="13">
        <f t="shared" si="312"/>
        <v>565500</v>
      </c>
      <c r="FK68" s="60">
        <f t="shared" si="312"/>
        <v>530.19000000000005</v>
      </c>
      <c r="FL68" s="29">
        <f t="shared" si="312"/>
        <v>1180850.8700000001</v>
      </c>
      <c r="FM68" s="13">
        <f t="shared" si="312"/>
        <v>28</v>
      </c>
      <c r="FN68" s="14">
        <f t="shared" si="312"/>
        <v>4</v>
      </c>
      <c r="FO68" s="14">
        <f t="shared" si="312"/>
        <v>12.4</v>
      </c>
      <c r="FP68" s="14">
        <f t="shared" si="312"/>
        <v>1</v>
      </c>
      <c r="FQ68" s="14">
        <f t="shared" si="312"/>
        <v>1</v>
      </c>
      <c r="FR68" s="14">
        <f t="shared" si="312"/>
        <v>9.5</v>
      </c>
      <c r="FS68" s="60">
        <f t="shared" si="312"/>
        <v>0.1</v>
      </c>
      <c r="FT68" s="14">
        <f t="shared" si="312"/>
        <v>167885.81</v>
      </c>
      <c r="FU68" s="13">
        <f t="shared" si="312"/>
        <v>368766.37</v>
      </c>
      <c r="FV68" s="13">
        <f t="shared" si="312"/>
        <v>39200</v>
      </c>
      <c r="FW68" s="13">
        <f t="shared" si="312"/>
        <v>41550</v>
      </c>
      <c r="FX68" s="13">
        <f t="shared" si="312"/>
        <v>524991.53</v>
      </c>
      <c r="FY68" s="60">
        <f t="shared" si="312"/>
        <v>38457.160000000003</v>
      </c>
      <c r="FZ68" s="29">
        <f t="shared" si="312"/>
        <v>2317264.0099999998</v>
      </c>
      <c r="GA68" s="13">
        <f t="shared" si="312"/>
        <v>28.63</v>
      </c>
      <c r="GB68" s="14">
        <f t="shared" si="312"/>
        <v>16.5</v>
      </c>
      <c r="GC68" s="14">
        <f t="shared" si="312"/>
        <v>8.6</v>
      </c>
      <c r="GD68" s="14">
        <f t="shared" si="312"/>
        <v>1</v>
      </c>
      <c r="GE68" s="14">
        <f t="shared" si="312"/>
        <v>2.5</v>
      </c>
      <c r="GF68" s="60">
        <f t="shared" si="312"/>
        <v>0.03</v>
      </c>
      <c r="GG68" s="14">
        <f t="shared" si="312"/>
        <v>1727159.88</v>
      </c>
      <c r="GH68" s="14">
        <f t="shared" si="312"/>
        <v>676629.39</v>
      </c>
      <c r="GI68" s="13">
        <f t="shared" si="312"/>
        <v>448632.26</v>
      </c>
      <c r="GJ68" s="13">
        <f t="shared" si="312"/>
        <v>390043.52</v>
      </c>
      <c r="GK68" s="13">
        <f t="shared" si="312"/>
        <v>41000</v>
      </c>
      <c r="GL68" s="13">
        <f t="shared" si="312"/>
        <v>99500</v>
      </c>
      <c r="GM68" s="411">
        <f t="shared" si="312"/>
        <v>971.87</v>
      </c>
      <c r="GN68" s="415">
        <f t="shared" ref="GN68:IY68" si="313">SUM(GN5:GN67)</f>
        <v>1039278.51</v>
      </c>
      <c r="GO68" s="13">
        <f t="shared" si="313"/>
        <v>27.91</v>
      </c>
      <c r="GP68" s="14">
        <f t="shared" si="313"/>
        <v>6.5</v>
      </c>
      <c r="GQ68" s="14">
        <f t="shared" si="313"/>
        <v>16.3</v>
      </c>
      <c r="GR68" s="14">
        <f t="shared" si="313"/>
        <v>1.5</v>
      </c>
      <c r="GS68" s="14">
        <f t="shared" si="313"/>
        <v>1</v>
      </c>
      <c r="GT68" s="14">
        <f t="shared" si="313"/>
        <v>2.5</v>
      </c>
      <c r="GU68" s="60">
        <f t="shared" si="313"/>
        <v>0.11</v>
      </c>
      <c r="GV68" s="14">
        <f t="shared" si="313"/>
        <v>269640.63</v>
      </c>
      <c r="GW68" s="127">
        <f t="shared" si="313"/>
        <v>575250.48</v>
      </c>
      <c r="GX68" s="127">
        <f t="shared" si="313"/>
        <v>54422.59</v>
      </c>
      <c r="GY68" s="127">
        <f t="shared" si="313"/>
        <v>49750</v>
      </c>
      <c r="GZ68" s="13">
        <f t="shared" si="313"/>
        <v>85172.59</v>
      </c>
      <c r="HA68" s="60">
        <f t="shared" si="313"/>
        <v>5042.22</v>
      </c>
      <c r="HB68" s="29">
        <f t="shared" si="313"/>
        <v>1399033.56</v>
      </c>
      <c r="HC68" s="13">
        <f t="shared" si="313"/>
        <v>27.92</v>
      </c>
      <c r="HD68" s="14">
        <f t="shared" si="313"/>
        <v>2</v>
      </c>
      <c r="HE68" s="14">
        <f t="shared" si="313"/>
        <v>14.9</v>
      </c>
      <c r="HF68" s="14">
        <f t="shared" si="313"/>
        <v>1.5</v>
      </c>
      <c r="HG68" s="14">
        <f t="shared" si="313"/>
        <v>2</v>
      </c>
      <c r="HH68" s="14">
        <f t="shared" si="313"/>
        <v>2.5</v>
      </c>
      <c r="HI68" s="14">
        <f t="shared" si="313"/>
        <v>2</v>
      </c>
      <c r="HJ68" s="14">
        <f t="shared" si="313"/>
        <v>2</v>
      </c>
      <c r="HK68" s="14">
        <f t="shared" si="313"/>
        <v>1</v>
      </c>
      <c r="HL68" s="60">
        <f t="shared" si="313"/>
        <v>0.02</v>
      </c>
      <c r="HM68" s="14">
        <f t="shared" si="313"/>
        <v>114620</v>
      </c>
      <c r="HN68" s="127">
        <f t="shared" si="313"/>
        <v>680439.35</v>
      </c>
      <c r="HO68" s="127">
        <f t="shared" si="313"/>
        <v>72745</v>
      </c>
      <c r="HP68" s="127">
        <f t="shared" si="313"/>
        <v>99895</v>
      </c>
      <c r="HQ68" s="127">
        <f t="shared" si="313"/>
        <v>132110</v>
      </c>
      <c r="HR68" s="127">
        <f t="shared" si="313"/>
        <v>117900</v>
      </c>
      <c r="HS68" s="127">
        <f t="shared" si="313"/>
        <v>106430</v>
      </c>
      <c r="HT68" s="13">
        <f t="shared" si="313"/>
        <v>73700</v>
      </c>
      <c r="HU68" s="60">
        <f t="shared" si="313"/>
        <v>1194.21</v>
      </c>
      <c r="HV68" s="29">
        <f t="shared" si="313"/>
        <v>1057402.08</v>
      </c>
      <c r="HW68" s="13">
        <f t="shared" si="313"/>
        <v>28</v>
      </c>
      <c r="HX68" s="14">
        <f t="shared" si="313"/>
        <v>0</v>
      </c>
      <c r="HY68" s="14">
        <f t="shared" si="313"/>
        <v>0</v>
      </c>
      <c r="HZ68" s="60">
        <f t="shared" si="313"/>
        <v>28</v>
      </c>
      <c r="IA68" s="14">
        <f t="shared" si="313"/>
        <v>0</v>
      </c>
      <c r="IB68" s="13">
        <f t="shared" si="313"/>
        <v>0</v>
      </c>
      <c r="IC68" s="60">
        <f t="shared" si="313"/>
        <v>1057402.08</v>
      </c>
      <c r="ID68" s="29">
        <f t="shared" si="313"/>
        <v>1432823.33</v>
      </c>
      <c r="IE68" s="13">
        <f t="shared" si="313"/>
        <v>28.95</v>
      </c>
      <c r="IF68" s="14">
        <f t="shared" si="313"/>
        <v>2</v>
      </c>
      <c r="IG68" s="14">
        <f t="shared" si="313"/>
        <v>14.3</v>
      </c>
      <c r="IH68" s="14">
        <f t="shared" si="313"/>
        <v>1.5</v>
      </c>
      <c r="II68" s="14">
        <f t="shared" si="313"/>
        <v>2</v>
      </c>
      <c r="IJ68" s="14">
        <f t="shared" si="313"/>
        <v>3</v>
      </c>
      <c r="IK68" s="14">
        <f t="shared" si="313"/>
        <v>2</v>
      </c>
      <c r="IL68" s="14">
        <f t="shared" si="313"/>
        <v>2</v>
      </c>
      <c r="IM68" s="14">
        <f t="shared" si="313"/>
        <v>1</v>
      </c>
      <c r="IN68" s="14">
        <f t="shared" si="313"/>
        <v>1</v>
      </c>
      <c r="IO68" s="60">
        <f t="shared" si="313"/>
        <v>0.15</v>
      </c>
      <c r="IP68" s="14">
        <f t="shared" si="313"/>
        <v>114620</v>
      </c>
      <c r="IQ68" s="127">
        <f t="shared" si="313"/>
        <v>693999.93</v>
      </c>
      <c r="IR68" s="127">
        <f t="shared" si="313"/>
        <v>73105.119999999995</v>
      </c>
      <c r="IS68" s="127">
        <f t="shared" si="313"/>
        <v>96176.94</v>
      </c>
      <c r="IT68" s="127">
        <f t="shared" si="313"/>
        <v>126790.63</v>
      </c>
      <c r="IU68" s="127">
        <f t="shared" si="313"/>
        <v>108822.96</v>
      </c>
      <c r="IV68" s="127">
        <f t="shared" si="313"/>
        <v>99840.49</v>
      </c>
      <c r="IW68" s="14">
        <f t="shared" si="313"/>
        <v>63973</v>
      </c>
      <c r="IX68" s="13">
        <f t="shared" si="313"/>
        <v>45888.69</v>
      </c>
      <c r="IY68" s="60">
        <f t="shared" si="313"/>
        <v>9605.57</v>
      </c>
      <c r="IZ68" s="29">
        <f t="shared" ref="IZ68:LK68" si="314">SUM(IZ5:IZ67)</f>
        <v>1466563.59</v>
      </c>
      <c r="JA68" s="13">
        <f t="shared" si="314"/>
        <v>29</v>
      </c>
      <c r="JB68" s="14">
        <f t="shared" si="314"/>
        <v>3</v>
      </c>
      <c r="JC68" s="14">
        <f t="shared" si="314"/>
        <v>14</v>
      </c>
      <c r="JD68" s="14">
        <f t="shared" si="314"/>
        <v>1.5</v>
      </c>
      <c r="JE68" s="14">
        <f t="shared" si="314"/>
        <v>2</v>
      </c>
      <c r="JF68" s="14">
        <f t="shared" si="314"/>
        <v>3</v>
      </c>
      <c r="JG68" s="14">
        <f t="shared" si="314"/>
        <v>2</v>
      </c>
      <c r="JH68" s="14">
        <f t="shared" si="314"/>
        <v>1</v>
      </c>
      <c r="JI68" s="14">
        <f t="shared" si="314"/>
        <v>1</v>
      </c>
      <c r="JJ68" s="14">
        <f t="shared" si="314"/>
        <v>1.5</v>
      </c>
      <c r="JK68" s="60">
        <f t="shared" si="314"/>
        <v>0</v>
      </c>
      <c r="JL68" s="14">
        <f t="shared" si="314"/>
        <v>164352.03</v>
      </c>
      <c r="JM68" s="127">
        <f t="shared" si="314"/>
        <v>656725.31999999995</v>
      </c>
      <c r="JN68" s="127">
        <f t="shared" si="314"/>
        <v>91500</v>
      </c>
      <c r="JO68" s="127">
        <f t="shared" si="314"/>
        <v>104750</v>
      </c>
      <c r="JP68" s="127">
        <f t="shared" si="314"/>
        <v>138130.17000000001</v>
      </c>
      <c r="JQ68" s="127">
        <f t="shared" si="314"/>
        <v>112562.84</v>
      </c>
      <c r="JR68" s="127">
        <f t="shared" si="314"/>
        <v>47121.62</v>
      </c>
      <c r="JS68" s="14">
        <f t="shared" si="314"/>
        <v>60300</v>
      </c>
      <c r="JT68" s="13">
        <f t="shared" si="314"/>
        <v>91121.62</v>
      </c>
      <c r="JU68" s="60">
        <f t="shared" si="314"/>
        <v>-0.01</v>
      </c>
      <c r="JV68" s="29">
        <f t="shared" si="314"/>
        <v>1462977.29</v>
      </c>
      <c r="JW68" s="13">
        <f t="shared" si="314"/>
        <v>29</v>
      </c>
      <c r="JX68" s="14">
        <f t="shared" si="314"/>
        <v>2</v>
      </c>
      <c r="JY68" s="14">
        <f t="shared" si="314"/>
        <v>3</v>
      </c>
      <c r="JZ68" s="14">
        <f t="shared" si="314"/>
        <v>5.5</v>
      </c>
      <c r="KA68" s="14">
        <f t="shared" si="314"/>
        <v>3</v>
      </c>
      <c r="KB68" s="14">
        <f t="shared" si="314"/>
        <v>4</v>
      </c>
      <c r="KC68" s="14">
        <f t="shared" si="314"/>
        <v>6</v>
      </c>
      <c r="KD68" s="14">
        <f t="shared" si="314"/>
        <v>2</v>
      </c>
      <c r="KE68" s="14">
        <f t="shared" si="314"/>
        <v>1</v>
      </c>
      <c r="KF68" s="14">
        <f t="shared" si="314"/>
        <v>2.5</v>
      </c>
      <c r="KG68" s="60">
        <f t="shared" si="314"/>
        <v>0</v>
      </c>
      <c r="KH68" s="14">
        <f t="shared" si="314"/>
        <v>86265.48</v>
      </c>
      <c r="KI68" s="14">
        <f t="shared" si="314"/>
        <v>148515.48000000001</v>
      </c>
      <c r="KJ68" s="127">
        <f t="shared" si="314"/>
        <v>289800</v>
      </c>
      <c r="KK68" s="127">
        <f t="shared" si="314"/>
        <v>144203.85</v>
      </c>
      <c r="KL68" s="127">
        <f t="shared" si="314"/>
        <v>195826.16</v>
      </c>
      <c r="KM68" s="127">
        <f t="shared" si="314"/>
        <v>326253.84999999998</v>
      </c>
      <c r="KN68" s="127">
        <f t="shared" si="314"/>
        <v>109250</v>
      </c>
      <c r="KO68" s="14">
        <f t="shared" si="314"/>
        <v>48000</v>
      </c>
      <c r="KP68" s="13">
        <f t="shared" si="314"/>
        <v>114862.49</v>
      </c>
      <c r="KQ68" s="60">
        <f t="shared" si="314"/>
        <v>-0.02</v>
      </c>
      <c r="KR68" s="29">
        <f t="shared" si="314"/>
        <v>1552475.12</v>
      </c>
      <c r="KS68" s="13">
        <f t="shared" si="314"/>
        <v>30.28</v>
      </c>
      <c r="KT68" s="14">
        <f t="shared" si="314"/>
        <v>3</v>
      </c>
      <c r="KU68" s="14">
        <f t="shared" si="314"/>
        <v>6.5</v>
      </c>
      <c r="KV68" s="14">
        <f t="shared" si="314"/>
        <v>6</v>
      </c>
      <c r="KW68" s="14">
        <f t="shared" si="314"/>
        <v>2.5</v>
      </c>
      <c r="KX68" s="14">
        <f t="shared" si="314"/>
        <v>5.5</v>
      </c>
      <c r="KY68" s="14">
        <f t="shared" si="314"/>
        <v>3</v>
      </c>
      <c r="KZ68" s="14">
        <f t="shared" si="314"/>
        <v>1</v>
      </c>
      <c r="LA68" s="14">
        <f t="shared" si="314"/>
        <v>2.5</v>
      </c>
      <c r="LB68" s="60">
        <f t="shared" si="314"/>
        <v>0.28000000000000003</v>
      </c>
      <c r="LC68" s="14">
        <f t="shared" si="314"/>
        <v>154008.70000000001</v>
      </c>
      <c r="LD68" s="127">
        <f t="shared" si="314"/>
        <v>341970.78</v>
      </c>
      <c r="LE68" s="127">
        <f t="shared" si="314"/>
        <v>287242.31</v>
      </c>
      <c r="LF68" s="127">
        <f t="shared" si="314"/>
        <v>139849.74</v>
      </c>
      <c r="LG68" s="127">
        <f t="shared" si="314"/>
        <v>272003.01</v>
      </c>
      <c r="LH68" s="127">
        <f t="shared" si="314"/>
        <v>155355.23000000001</v>
      </c>
      <c r="LI68" s="14">
        <f t="shared" si="314"/>
        <v>55321.43</v>
      </c>
      <c r="LJ68" s="13">
        <f t="shared" si="314"/>
        <v>136295.35</v>
      </c>
      <c r="LK68" s="60">
        <f t="shared" si="314"/>
        <v>10428.57</v>
      </c>
      <c r="LL68" s="29">
        <f t="shared" ref="LL68:NM68" si="315">SUM(LL5:LL67)</f>
        <v>1532911.73</v>
      </c>
      <c r="LM68" s="13">
        <f t="shared" si="315"/>
        <v>31.87</v>
      </c>
      <c r="LN68" s="14">
        <f t="shared" si="315"/>
        <v>7</v>
      </c>
      <c r="LO68" s="14">
        <f t="shared" si="315"/>
        <v>3</v>
      </c>
      <c r="LP68" s="14">
        <f t="shared" si="315"/>
        <v>3.5</v>
      </c>
      <c r="LQ68" s="14">
        <f t="shared" si="315"/>
        <v>9</v>
      </c>
      <c r="LR68" s="14">
        <f t="shared" si="315"/>
        <v>5</v>
      </c>
      <c r="LS68" s="14">
        <f t="shared" si="315"/>
        <v>1.5</v>
      </c>
      <c r="LT68" s="14">
        <f t="shared" si="315"/>
        <v>2.5</v>
      </c>
      <c r="LU68" s="60">
        <f t="shared" si="315"/>
        <v>0.37</v>
      </c>
      <c r="LV68" s="127">
        <f t="shared" si="315"/>
        <v>282447.11</v>
      </c>
      <c r="LW68" s="127">
        <f t="shared" si="315"/>
        <v>155856.95999999999</v>
      </c>
      <c r="LX68" s="127">
        <f t="shared" si="315"/>
        <v>181360.71</v>
      </c>
      <c r="LY68" s="127">
        <f t="shared" si="315"/>
        <v>430403.51</v>
      </c>
      <c r="LZ68" s="127">
        <f t="shared" si="315"/>
        <v>251042.1</v>
      </c>
      <c r="MA68" s="14">
        <f t="shared" si="315"/>
        <v>95700</v>
      </c>
      <c r="MB68" s="13">
        <f t="shared" si="315"/>
        <v>112218.25</v>
      </c>
      <c r="MC68" s="60">
        <f t="shared" si="315"/>
        <v>23883.09</v>
      </c>
      <c r="MD68" s="29">
        <f t="shared" si="315"/>
        <v>1591742.94</v>
      </c>
      <c r="ME68" s="13">
        <f t="shared" si="315"/>
        <v>32</v>
      </c>
      <c r="MF68" s="14">
        <f t="shared" si="315"/>
        <v>3</v>
      </c>
      <c r="MG68" s="14">
        <f t="shared" si="315"/>
        <v>5.5</v>
      </c>
      <c r="MH68" s="14">
        <f t="shared" si="315"/>
        <v>13</v>
      </c>
      <c r="MI68" s="14">
        <f t="shared" si="315"/>
        <v>6</v>
      </c>
      <c r="MJ68" s="14">
        <f t="shared" ref="MJ68" si="316">SUM(MJ5:MJ67)</f>
        <v>1.5</v>
      </c>
      <c r="MK68" s="14">
        <f t="shared" si="315"/>
        <v>0.5</v>
      </c>
      <c r="ML68" s="14">
        <f t="shared" si="315"/>
        <v>2.5</v>
      </c>
      <c r="MM68" s="60">
        <f t="shared" si="315"/>
        <v>0</v>
      </c>
      <c r="MN68" s="127">
        <f t="shared" si="315"/>
        <v>137888.31</v>
      </c>
      <c r="MO68" s="127">
        <f t="shared" si="315"/>
        <v>298341.23</v>
      </c>
      <c r="MP68" s="127">
        <f t="shared" si="315"/>
        <v>626412.59</v>
      </c>
      <c r="MQ68" s="127">
        <f t="shared" si="315"/>
        <v>274898.95</v>
      </c>
      <c r="MR68" s="14">
        <f t="shared" ref="MR68" si="317">SUM(MR5:MR67)</f>
        <v>99324.45</v>
      </c>
      <c r="MS68" s="14">
        <f t="shared" si="315"/>
        <v>40378.47</v>
      </c>
      <c r="MT68" s="13">
        <f t="shared" si="315"/>
        <v>114498.95</v>
      </c>
      <c r="MU68" s="60">
        <f t="shared" si="315"/>
        <v>-0.01</v>
      </c>
      <c r="MV68" s="29">
        <f t="shared" si="315"/>
        <v>1865482.41</v>
      </c>
      <c r="MW68" s="13">
        <f t="shared" si="315"/>
        <v>38.840000000000003</v>
      </c>
      <c r="MX68" s="14">
        <f t="shared" si="315"/>
        <v>0</v>
      </c>
      <c r="MY68" s="14">
        <f t="shared" si="315"/>
        <v>5</v>
      </c>
      <c r="MZ68" s="14">
        <f t="shared" si="315"/>
        <v>14</v>
      </c>
      <c r="NA68" s="14">
        <f t="shared" si="315"/>
        <v>3</v>
      </c>
      <c r="NB68" s="14">
        <f t="shared" ref="NB68" si="318">SUM(NB5:NB67)</f>
        <v>0</v>
      </c>
      <c r="NC68" s="14">
        <f t="shared" si="315"/>
        <v>0</v>
      </c>
      <c r="ND68" s="14">
        <f t="shared" si="315"/>
        <v>2</v>
      </c>
      <c r="NE68" s="60">
        <f t="shared" si="315"/>
        <v>14.84</v>
      </c>
      <c r="NF68" s="127">
        <f t="shared" si="315"/>
        <v>0</v>
      </c>
      <c r="NG68" s="127">
        <f t="shared" si="315"/>
        <v>261371.8</v>
      </c>
      <c r="NH68" s="127">
        <f t="shared" si="315"/>
        <v>631817.79</v>
      </c>
      <c r="NI68" s="127">
        <f t="shared" si="315"/>
        <v>138350</v>
      </c>
      <c r="NJ68" s="14">
        <f t="shared" ref="NJ68" si="319">SUM(NJ5:NJ67)</f>
        <v>0</v>
      </c>
      <c r="NK68" s="14">
        <f t="shared" si="315"/>
        <v>0</v>
      </c>
      <c r="NL68" s="13">
        <f t="shared" si="315"/>
        <v>94106.38</v>
      </c>
      <c r="NM68" s="60">
        <f t="shared" si="315"/>
        <v>739836.44</v>
      </c>
      <c r="NN68" s="29">
        <f t="shared" ref="NN68:OA68" si="320">SUM(NN5:NN67)</f>
        <v>1941924.27</v>
      </c>
      <c r="NO68" s="13">
        <f t="shared" si="320"/>
        <v>37.71</v>
      </c>
      <c r="NP68" s="14">
        <f t="shared" si="320"/>
        <v>0</v>
      </c>
      <c r="NQ68" s="14">
        <f t="shared" si="320"/>
        <v>14</v>
      </c>
      <c r="NR68" s="14">
        <f t="shared" si="320"/>
        <v>0</v>
      </c>
      <c r="NS68" s="14">
        <f t="shared" si="320"/>
        <v>0</v>
      </c>
      <c r="NT68" s="14">
        <f t="shared" si="320"/>
        <v>2</v>
      </c>
      <c r="NU68" s="60">
        <f t="shared" si="320"/>
        <v>21.71</v>
      </c>
      <c r="NV68" s="127">
        <f t="shared" si="320"/>
        <v>0</v>
      </c>
      <c r="NW68" s="127">
        <f t="shared" si="320"/>
        <v>691879.44</v>
      </c>
      <c r="NX68" s="14">
        <f t="shared" si="320"/>
        <v>0</v>
      </c>
      <c r="NY68" s="14">
        <f t="shared" si="320"/>
        <v>0</v>
      </c>
      <c r="NZ68" s="13">
        <f t="shared" si="320"/>
        <v>103500</v>
      </c>
      <c r="OA68" s="60">
        <f t="shared" si="320"/>
        <v>1146544.83</v>
      </c>
      <c r="OB68" s="29">
        <f t="shared" ref="OB68:OO68" si="321">SUM(OB5:OB67)</f>
        <v>1903987.87</v>
      </c>
      <c r="OC68" s="13">
        <f t="shared" si="321"/>
        <v>37.5</v>
      </c>
      <c r="OD68" s="14">
        <f t="shared" si="321"/>
        <v>0</v>
      </c>
      <c r="OE68" s="14">
        <f t="shared" si="321"/>
        <v>14</v>
      </c>
      <c r="OF68" s="14">
        <f t="shared" si="321"/>
        <v>0</v>
      </c>
      <c r="OG68" s="14">
        <f t="shared" si="321"/>
        <v>0</v>
      </c>
      <c r="OH68" s="14">
        <f t="shared" si="321"/>
        <v>2</v>
      </c>
      <c r="OI68" s="60">
        <f t="shared" si="321"/>
        <v>21.5</v>
      </c>
      <c r="OJ68" s="127">
        <f t="shared" si="321"/>
        <v>0</v>
      </c>
      <c r="OK68" s="127">
        <f t="shared" si="321"/>
        <v>698028.82</v>
      </c>
      <c r="OL68" s="14">
        <f t="shared" si="321"/>
        <v>0</v>
      </c>
      <c r="OM68" s="14">
        <f t="shared" si="321"/>
        <v>0</v>
      </c>
      <c r="ON68" s="13">
        <f t="shared" si="321"/>
        <v>102692.4</v>
      </c>
      <c r="OO68" s="60">
        <f t="shared" si="321"/>
        <v>1103266.6499999999</v>
      </c>
      <c r="OP68" s="29">
        <f t="shared" ref="OP68:PC68" si="322">SUM(OP5:OP67)</f>
        <v>1910438.91</v>
      </c>
      <c r="OQ68" s="13">
        <f t="shared" si="322"/>
        <v>37.5</v>
      </c>
      <c r="OR68" s="14">
        <f t="shared" si="322"/>
        <v>0</v>
      </c>
      <c r="OS68" s="14">
        <f t="shared" si="322"/>
        <v>7</v>
      </c>
      <c r="OT68" s="14">
        <f t="shared" si="322"/>
        <v>0</v>
      </c>
      <c r="OU68" s="14">
        <f t="shared" si="322"/>
        <v>0</v>
      </c>
      <c r="OV68" s="14">
        <f t="shared" si="322"/>
        <v>2</v>
      </c>
      <c r="OW68" s="60">
        <f t="shared" si="322"/>
        <v>28.5</v>
      </c>
      <c r="OX68" s="127">
        <f t="shared" si="322"/>
        <v>0</v>
      </c>
      <c r="OY68" s="127">
        <f t="shared" si="322"/>
        <v>364665.19</v>
      </c>
      <c r="OZ68" s="14">
        <f t="shared" si="322"/>
        <v>0</v>
      </c>
      <c r="PA68" s="14">
        <f t="shared" si="322"/>
        <v>0</v>
      </c>
      <c r="PB68" s="13">
        <f t="shared" si="322"/>
        <v>99565.87</v>
      </c>
      <c r="PC68" s="60">
        <f t="shared" si="322"/>
        <v>1446207.85</v>
      </c>
      <c r="PD68" s="29">
        <f t="shared" ref="PD68:PS68" si="323">SUM(PD5:PD67)</f>
        <v>1909650</v>
      </c>
      <c r="PE68" s="13">
        <f t="shared" si="323"/>
        <v>37.5</v>
      </c>
      <c r="PF68" s="14">
        <f t="shared" si="323"/>
        <v>0</v>
      </c>
      <c r="PG68" s="14">
        <f t="shared" si="323"/>
        <v>0</v>
      </c>
      <c r="PH68" s="14">
        <f t="shared" si="323"/>
        <v>0</v>
      </c>
      <c r="PI68" s="14">
        <f t="shared" si="323"/>
        <v>0</v>
      </c>
      <c r="PJ68" s="14">
        <f t="shared" si="323"/>
        <v>1</v>
      </c>
      <c r="PK68" s="60">
        <f t="shared" si="323"/>
        <v>36.5</v>
      </c>
      <c r="PL68" s="127">
        <f t="shared" si="323"/>
        <v>0</v>
      </c>
      <c r="PM68" s="127">
        <f t="shared" si="323"/>
        <v>0</v>
      </c>
      <c r="PN68" s="14">
        <f t="shared" si="323"/>
        <v>0</v>
      </c>
      <c r="PO68" s="14">
        <f t="shared" si="323"/>
        <v>0</v>
      </c>
      <c r="PP68" s="13">
        <f t="shared" si="323"/>
        <v>49500</v>
      </c>
      <c r="PQ68" s="60">
        <f t="shared" si="323"/>
        <v>1860150</v>
      </c>
      <c r="PS68" s="60">
        <f t="shared" si="323"/>
        <v>21.5</v>
      </c>
    </row>
    <row r="69" spans="2:435" x14ac:dyDescent="0.2">
      <c r="E69" s="10"/>
      <c r="W69" s="10"/>
      <c r="AQ69" s="10"/>
      <c r="BG69" s="10"/>
      <c r="BY69" s="10"/>
      <c r="CQ69" s="10"/>
      <c r="DI69" s="10"/>
      <c r="EA69" s="10"/>
      <c r="EQ69" s="10"/>
      <c r="FC69" s="10"/>
      <c r="FM69" s="10"/>
      <c r="GA69" s="10"/>
      <c r="GO69" s="10"/>
      <c r="HC69" s="10"/>
      <c r="HW69" s="10"/>
      <c r="IE69" s="10"/>
      <c r="JA69" s="10"/>
      <c r="JW69" s="10"/>
      <c r="KS69" s="10"/>
      <c r="LM69" s="10"/>
      <c r="ME69" s="10"/>
      <c r="MW69" s="10"/>
      <c r="NO69" s="10"/>
      <c r="OC69" s="10"/>
      <c r="OQ69" s="10"/>
      <c r="PE69" s="10"/>
    </row>
    <row r="70" spans="2:435" s="38" customFormat="1" ht="12" x14ac:dyDescent="0.2">
      <c r="C70" s="37" t="s">
        <v>66</v>
      </c>
      <c r="D70" s="38">
        <f>SUM(N70:T70)</f>
        <v>925800</v>
      </c>
      <c r="E70" s="4">
        <f>SUM(F70:L70)</f>
        <v>24</v>
      </c>
      <c r="F70" s="4">
        <v>9</v>
      </c>
      <c r="G70" s="4">
        <v>1.5</v>
      </c>
      <c r="H70" s="4">
        <v>3</v>
      </c>
      <c r="I70" s="4">
        <v>2</v>
      </c>
      <c r="J70" s="4">
        <v>4</v>
      </c>
      <c r="K70" s="4">
        <v>2</v>
      </c>
      <c r="L70" s="4">
        <v>2.5</v>
      </c>
      <c r="M70" s="4"/>
      <c r="N70" s="4">
        <v>351850</v>
      </c>
      <c r="O70" s="4">
        <v>50300</v>
      </c>
      <c r="P70" s="4">
        <v>126300</v>
      </c>
      <c r="Q70" s="4">
        <v>83250</v>
      </c>
      <c r="R70" s="4">
        <v>149950</v>
      </c>
      <c r="S70" s="4">
        <v>73525</v>
      </c>
      <c r="T70" s="4">
        <v>90625</v>
      </c>
      <c r="U70" s="4"/>
      <c r="V70" s="38">
        <f>SUM(AG70:AN70)</f>
        <v>1038957.07</v>
      </c>
      <c r="W70" s="4">
        <f>SUM(X70:AE70)</f>
        <v>24</v>
      </c>
      <c r="X70" s="4">
        <v>4</v>
      </c>
      <c r="Y70" s="4">
        <v>0.5</v>
      </c>
      <c r="Z70" s="4">
        <v>2.5</v>
      </c>
      <c r="AA70" s="4">
        <v>1</v>
      </c>
      <c r="AB70" s="4">
        <v>3</v>
      </c>
      <c r="AC70" s="4">
        <v>2</v>
      </c>
      <c r="AD70" s="4">
        <v>2.5</v>
      </c>
      <c r="AE70" s="4">
        <v>8.5</v>
      </c>
      <c r="AF70" s="4"/>
      <c r="AG70" s="4">
        <v>95350</v>
      </c>
      <c r="AH70" s="4">
        <v>32260</v>
      </c>
      <c r="AI70" s="4">
        <v>92375</v>
      </c>
      <c r="AJ70" s="4">
        <v>41800</v>
      </c>
      <c r="AK70" s="4">
        <v>117090.23</v>
      </c>
      <c r="AL70" s="4">
        <v>88250</v>
      </c>
      <c r="AM70" s="4">
        <v>114150</v>
      </c>
      <c r="AN70" s="4">
        <v>457681.84</v>
      </c>
      <c r="AO70" s="4"/>
      <c r="AP70" s="38">
        <f>SUM(AY70:BD70)</f>
        <v>1064855.02</v>
      </c>
      <c r="AQ70" s="4">
        <f>SUM(AR70:AW70)</f>
        <v>23.7</v>
      </c>
      <c r="AR70" s="4">
        <v>2</v>
      </c>
      <c r="AS70" s="4">
        <v>1</v>
      </c>
      <c r="AT70" s="4">
        <v>5</v>
      </c>
      <c r="AU70" s="4">
        <v>2</v>
      </c>
      <c r="AV70" s="4">
        <v>5</v>
      </c>
      <c r="AW70" s="4">
        <v>8.6999999999999993</v>
      </c>
      <c r="AX70" s="4"/>
      <c r="AY70" s="4">
        <v>84200</v>
      </c>
      <c r="AZ70" s="4">
        <v>40070</v>
      </c>
      <c r="BA70" s="4">
        <v>216299.47</v>
      </c>
      <c r="BB70" s="4">
        <v>85425</v>
      </c>
      <c r="BC70" s="4">
        <v>190500</v>
      </c>
      <c r="BD70" s="4">
        <v>448360.55</v>
      </c>
      <c r="BE70" s="4"/>
      <c r="BF70" s="38">
        <f>SUM(BP70:BV70)</f>
        <v>1329471.1100000001</v>
      </c>
      <c r="BG70" s="4">
        <f>SUM(BH70:BN70)</f>
        <v>26.4</v>
      </c>
      <c r="BH70" s="4">
        <v>2</v>
      </c>
      <c r="BI70" s="4">
        <v>1.5</v>
      </c>
      <c r="BJ70" s="4">
        <v>5</v>
      </c>
      <c r="BK70" s="4">
        <v>2</v>
      </c>
      <c r="BL70" s="4">
        <v>5</v>
      </c>
      <c r="BM70" s="4">
        <v>5.4</v>
      </c>
      <c r="BN70" s="4">
        <v>5.5</v>
      </c>
      <c r="BO70" s="4"/>
      <c r="BP70" s="4">
        <v>86875</v>
      </c>
      <c r="BQ70" s="4">
        <v>63700</v>
      </c>
      <c r="BR70" s="4">
        <v>221700</v>
      </c>
      <c r="BS70" s="4">
        <v>88450</v>
      </c>
      <c r="BT70" s="4">
        <v>222448.93</v>
      </c>
      <c r="BU70" s="4">
        <v>428947.18</v>
      </c>
      <c r="BV70" s="4">
        <v>217350</v>
      </c>
      <c r="BW70" s="4"/>
      <c r="BX70" s="38">
        <f>SUM(CH70:CN70)</f>
        <v>1020052.97</v>
      </c>
      <c r="BY70" s="4">
        <f>SUM(BZ70:CF70)</f>
        <v>23.8</v>
      </c>
      <c r="BZ70" s="4">
        <v>1.5</v>
      </c>
      <c r="CA70" s="4">
        <v>1.5</v>
      </c>
      <c r="CB70" s="4">
        <v>6</v>
      </c>
      <c r="CC70" s="4">
        <v>2</v>
      </c>
      <c r="CD70" s="4">
        <v>5</v>
      </c>
      <c r="CE70" s="4">
        <v>4.8</v>
      </c>
      <c r="CF70" s="4">
        <v>3</v>
      </c>
      <c r="CG70" s="4"/>
      <c r="CH70" s="4">
        <v>62750</v>
      </c>
      <c r="CI70" s="4">
        <v>57000</v>
      </c>
      <c r="CJ70" s="4">
        <v>258976.52</v>
      </c>
      <c r="CK70" s="4">
        <v>83759.31</v>
      </c>
      <c r="CL70" s="4">
        <v>223291.63</v>
      </c>
      <c r="CM70" s="4">
        <v>207170.93</v>
      </c>
      <c r="CN70" s="4">
        <v>127104.58</v>
      </c>
      <c r="CO70" s="4"/>
      <c r="CP70" s="38">
        <f>SUM(CZ70:DF70)</f>
        <v>949694.31</v>
      </c>
      <c r="CQ70" s="4">
        <f>SUM(CR70:CX70)</f>
        <v>24</v>
      </c>
      <c r="CR70" s="4">
        <v>1.5</v>
      </c>
      <c r="CS70" s="4">
        <v>1.5</v>
      </c>
      <c r="CT70" s="4">
        <v>6</v>
      </c>
      <c r="CU70" s="4">
        <v>1.5</v>
      </c>
      <c r="CV70" s="4">
        <v>5</v>
      </c>
      <c r="CW70" s="4">
        <v>3</v>
      </c>
      <c r="CX70" s="4">
        <v>5.5</v>
      </c>
      <c r="CY70" s="4"/>
      <c r="CZ70" s="4">
        <v>63500</v>
      </c>
      <c r="DA70" s="4">
        <v>60150</v>
      </c>
      <c r="DB70" s="4">
        <v>251951.79</v>
      </c>
      <c r="DC70" s="4">
        <v>63398.79</v>
      </c>
      <c r="DD70" s="4">
        <v>216938.44</v>
      </c>
      <c r="DE70" s="4">
        <v>95890.53</v>
      </c>
      <c r="DF70" s="4">
        <v>197864.76</v>
      </c>
      <c r="DG70" s="4"/>
      <c r="DH70" s="38">
        <f>SUM(DR70:DX70)</f>
        <v>956987.51</v>
      </c>
      <c r="DI70" s="4">
        <f>SUM(DJ70:DP70)</f>
        <v>25.9</v>
      </c>
      <c r="DJ70" s="4">
        <v>1</v>
      </c>
      <c r="DK70" s="4">
        <v>1</v>
      </c>
      <c r="DL70" s="4">
        <v>6</v>
      </c>
      <c r="DM70" s="4">
        <v>1.5</v>
      </c>
      <c r="DN70" s="4">
        <v>4</v>
      </c>
      <c r="DO70" s="4">
        <v>3.9</v>
      </c>
      <c r="DP70" s="4">
        <v>8.5</v>
      </c>
      <c r="DQ70" s="4"/>
      <c r="DR70" s="4">
        <v>42400.11</v>
      </c>
      <c r="DS70" s="4">
        <v>42450</v>
      </c>
      <c r="DT70" s="4">
        <v>228832</v>
      </c>
      <c r="DU70" s="4">
        <v>54711.9</v>
      </c>
      <c r="DV70" s="4">
        <v>140046</v>
      </c>
      <c r="DW70" s="4">
        <v>116570.21</v>
      </c>
      <c r="DX70" s="4">
        <v>331977.28999999998</v>
      </c>
      <c r="DY70" s="4"/>
      <c r="DZ70" s="38">
        <f>SUM(EI70:EN70)</f>
        <v>815874.57</v>
      </c>
      <c r="EA70" s="4">
        <f>SUM(EB70:EG70)</f>
        <v>26</v>
      </c>
      <c r="EB70" s="4">
        <v>5</v>
      </c>
      <c r="EC70" s="4">
        <v>1</v>
      </c>
      <c r="ED70" s="4">
        <v>1</v>
      </c>
      <c r="EE70" s="4">
        <v>1</v>
      </c>
      <c r="EF70" s="4">
        <v>10.5</v>
      </c>
      <c r="EG70" s="4">
        <v>7.5</v>
      </c>
      <c r="EH70" s="4"/>
      <c r="EI70" s="4"/>
      <c r="EJ70" s="4">
        <v>42450</v>
      </c>
      <c r="EK70" s="4">
        <v>40400</v>
      </c>
      <c r="EL70" s="4">
        <v>40400</v>
      </c>
      <c r="EM70" s="4">
        <v>397653.48</v>
      </c>
      <c r="EN70" s="4">
        <v>294971.09000000003</v>
      </c>
      <c r="EO70" s="4"/>
      <c r="EP70" s="38">
        <f>SUM(EW70:EZ70)</f>
        <v>862845.24</v>
      </c>
      <c r="EQ70" s="4">
        <f>SUM(ER70:EU70)</f>
        <v>26.9</v>
      </c>
      <c r="ER70" s="4">
        <v>5</v>
      </c>
      <c r="ES70" s="4">
        <v>1</v>
      </c>
      <c r="ET70" s="4">
        <v>12.9</v>
      </c>
      <c r="EU70" s="4">
        <v>8</v>
      </c>
      <c r="EV70" s="4"/>
      <c r="EW70" s="4"/>
      <c r="EX70" s="4">
        <v>43850</v>
      </c>
      <c r="EY70" s="4">
        <v>472842.04</v>
      </c>
      <c r="EZ70" s="4">
        <v>346153.2</v>
      </c>
      <c r="FA70" s="4"/>
      <c r="FB70" s="38">
        <f>SUM(FH70:FJ70)</f>
        <v>793242.86</v>
      </c>
      <c r="FC70" s="4">
        <f>SUM(FD70:FF70)</f>
        <v>28.8</v>
      </c>
      <c r="FD70" s="4">
        <v>7</v>
      </c>
      <c r="FE70" s="4">
        <v>8.8000000000000007</v>
      </c>
      <c r="FF70" s="4">
        <v>13</v>
      </c>
      <c r="FG70" s="4"/>
      <c r="FH70" s="4"/>
      <c r="FI70" s="4">
        <v>227742.86</v>
      </c>
      <c r="FJ70" s="4">
        <v>565500</v>
      </c>
      <c r="FK70" s="4"/>
      <c r="FL70" s="38">
        <f>SUM(FT70:FX70)</f>
        <v>866128.86</v>
      </c>
      <c r="FM70" s="4">
        <f>SUM(FN70:FR70)</f>
        <v>27.9</v>
      </c>
      <c r="FN70" s="4">
        <v>4</v>
      </c>
      <c r="FO70" s="4">
        <v>12.4</v>
      </c>
      <c r="FP70" s="4">
        <v>1</v>
      </c>
      <c r="FQ70" s="4">
        <v>1</v>
      </c>
      <c r="FR70" s="4">
        <v>9.5</v>
      </c>
      <c r="FS70" s="4"/>
      <c r="FT70" s="4"/>
      <c r="FU70" s="4">
        <v>368859.77</v>
      </c>
      <c r="FV70" s="4">
        <v>39200</v>
      </c>
      <c r="FW70" s="4">
        <v>41550</v>
      </c>
      <c r="FX70" s="4">
        <v>416519.09</v>
      </c>
      <c r="FY70" s="4"/>
      <c r="FZ70" s="38">
        <f>SUM(GH70)+SUM(GK70:GL70)+GJ70</f>
        <v>530780.61</v>
      </c>
      <c r="GA70" s="4">
        <f>SUM(GB70:GE70)</f>
        <v>12.1</v>
      </c>
      <c r="GB70" s="4"/>
      <c r="GC70" s="4">
        <v>8.6</v>
      </c>
      <c r="GD70" s="4">
        <v>1</v>
      </c>
      <c r="GE70" s="4">
        <v>2.5</v>
      </c>
      <c r="GF70" s="4"/>
      <c r="GG70" s="4"/>
      <c r="GH70" s="4"/>
      <c r="GI70" s="4">
        <v>448869.35</v>
      </c>
      <c r="GJ70" s="4">
        <v>390280.61</v>
      </c>
      <c r="GK70" s="4">
        <v>41000</v>
      </c>
      <c r="GL70" s="4">
        <v>99500</v>
      </c>
      <c r="GM70" s="4"/>
      <c r="GN70" s="416">
        <f>SUM(GV70:GZ70)</f>
        <v>1033570.14</v>
      </c>
      <c r="GO70" s="4">
        <f>SUM(GP70:GT70)</f>
        <v>27.8</v>
      </c>
      <c r="GP70" s="4">
        <v>6.5</v>
      </c>
      <c r="GQ70" s="4">
        <v>16.3</v>
      </c>
      <c r="GR70" s="4">
        <v>1.5</v>
      </c>
      <c r="GS70" s="4">
        <v>1</v>
      </c>
      <c r="GT70" s="4">
        <v>2.5</v>
      </c>
      <c r="GU70" s="4"/>
      <c r="GV70" s="4">
        <v>268974.48</v>
      </c>
      <c r="GW70" s="4">
        <v>575250.48</v>
      </c>
      <c r="GX70" s="4">
        <v>54422.59</v>
      </c>
      <c r="GY70" s="4">
        <v>49750</v>
      </c>
      <c r="GZ70" s="4">
        <v>85172.59</v>
      </c>
      <c r="HA70" s="4"/>
      <c r="HB70" s="38">
        <f>SUM(HM70:HT70)</f>
        <v>1324139.3500000001</v>
      </c>
      <c r="HC70" s="4">
        <f>SUM(HD70:HK70)</f>
        <v>27.9</v>
      </c>
      <c r="HD70" s="4">
        <v>2</v>
      </c>
      <c r="HE70" s="4">
        <v>14.9</v>
      </c>
      <c r="HF70" s="4">
        <v>1.5</v>
      </c>
      <c r="HG70" s="4">
        <v>2</v>
      </c>
      <c r="HH70" s="4">
        <v>2.5</v>
      </c>
      <c r="HI70" s="4">
        <v>2</v>
      </c>
      <c r="HJ70" s="4">
        <v>2</v>
      </c>
      <c r="HK70" s="873">
        <v>1</v>
      </c>
      <c r="HL70" s="4"/>
      <c r="HM70" s="4">
        <v>114620</v>
      </c>
      <c r="HN70" s="4">
        <v>680439.35</v>
      </c>
      <c r="HO70" s="4">
        <v>72745</v>
      </c>
      <c r="HP70" s="4">
        <v>99895</v>
      </c>
      <c r="HQ70" s="4">
        <v>132110</v>
      </c>
      <c r="HR70" s="4">
        <v>117900</v>
      </c>
      <c r="HS70" s="4">
        <v>106430</v>
      </c>
      <c r="HT70" s="4"/>
      <c r="HU70" s="4"/>
      <c r="HV70" s="38">
        <f>SUM(IA70:IA70)</f>
        <v>0</v>
      </c>
      <c r="HW70" s="4">
        <f>SUM(HX70:HX70)</f>
        <v>0</v>
      </c>
      <c r="HX70" s="4"/>
      <c r="HY70" s="4"/>
      <c r="HZ70" s="4"/>
      <c r="IA70" s="4"/>
      <c r="IB70" s="4"/>
      <c r="IC70" s="4"/>
      <c r="ID70" s="38">
        <f>SUM(IP70:IX70)</f>
        <v>1359227.43</v>
      </c>
      <c r="IE70" s="4">
        <f>SUM(IF70:IN70)</f>
        <v>28.8</v>
      </c>
      <c r="IF70" s="4">
        <v>2</v>
      </c>
      <c r="IG70" s="4">
        <v>14.3</v>
      </c>
      <c r="IH70" s="4">
        <v>1.5</v>
      </c>
      <c r="II70" s="4">
        <v>2</v>
      </c>
      <c r="IJ70" s="4">
        <v>3</v>
      </c>
      <c r="IK70" s="4">
        <v>2</v>
      </c>
      <c r="IL70" s="4">
        <v>2</v>
      </c>
      <c r="IM70" s="873">
        <v>1</v>
      </c>
      <c r="IN70" s="143">
        <v>1</v>
      </c>
      <c r="IO70" s="4"/>
      <c r="IP70" s="4">
        <v>114620</v>
      </c>
      <c r="IQ70" s="4">
        <v>693999.93</v>
      </c>
      <c r="IR70" s="4">
        <v>73105.119999999995</v>
      </c>
      <c r="IS70" s="4">
        <v>96159.61</v>
      </c>
      <c r="IT70" s="4">
        <v>126790.63</v>
      </c>
      <c r="IU70" s="4">
        <v>108822.96</v>
      </c>
      <c r="IV70" s="4">
        <v>99840.49</v>
      </c>
      <c r="IW70" s="4"/>
      <c r="IX70" s="143">
        <v>45888.69</v>
      </c>
      <c r="IY70" s="4"/>
      <c r="IZ70" s="38">
        <f>SUM(JL70:JT70)</f>
        <v>1254981.49</v>
      </c>
      <c r="JA70" s="4">
        <f>SUM(JB70:JJ70)</f>
        <v>29</v>
      </c>
      <c r="JB70" s="4">
        <v>3</v>
      </c>
      <c r="JC70" s="4">
        <v>14</v>
      </c>
      <c r="JD70" s="4">
        <v>1.5</v>
      </c>
      <c r="JE70" s="4">
        <v>2</v>
      </c>
      <c r="JF70" s="4">
        <v>3</v>
      </c>
      <c r="JG70" s="4">
        <v>2</v>
      </c>
      <c r="JH70" s="4">
        <v>1</v>
      </c>
      <c r="JI70" s="873">
        <v>1</v>
      </c>
      <c r="JJ70" s="143">
        <v>1.5</v>
      </c>
      <c r="JK70" s="4"/>
      <c r="JL70" s="4">
        <v>163325</v>
      </c>
      <c r="JM70" s="4">
        <v>506470.24</v>
      </c>
      <c r="JN70" s="4">
        <v>91500</v>
      </c>
      <c r="JO70" s="4">
        <v>104750</v>
      </c>
      <c r="JP70" s="4">
        <v>138130.17000000001</v>
      </c>
      <c r="JQ70" s="4">
        <v>112562.84</v>
      </c>
      <c r="JR70" s="4">
        <v>47121.62</v>
      </c>
      <c r="JS70" s="4"/>
      <c r="JT70" s="143">
        <v>91121.62</v>
      </c>
      <c r="JU70" s="4"/>
      <c r="JV70" s="38">
        <f>SUM(KH70:KP70)</f>
        <v>1414196.35</v>
      </c>
      <c r="JW70" s="4">
        <f>SUM(JX70:KF70)</f>
        <v>29</v>
      </c>
      <c r="JX70" s="4">
        <v>2</v>
      </c>
      <c r="JY70" s="4">
        <v>3</v>
      </c>
      <c r="JZ70" s="4">
        <v>5.5</v>
      </c>
      <c r="KA70" s="4">
        <v>3</v>
      </c>
      <c r="KB70" s="4">
        <v>4</v>
      </c>
      <c r="KC70" s="4">
        <v>6</v>
      </c>
      <c r="KD70" s="4">
        <v>2</v>
      </c>
      <c r="KE70" s="873">
        <v>1</v>
      </c>
      <c r="KF70" s="143">
        <v>2.5</v>
      </c>
      <c r="KG70" s="4"/>
      <c r="KH70" s="4">
        <f>84175</f>
        <v>84175</v>
      </c>
      <c r="KI70" s="4">
        <v>149825</v>
      </c>
      <c r="KJ70" s="4">
        <v>289800</v>
      </c>
      <c r="KK70" s="4">
        <v>144203.85</v>
      </c>
      <c r="KL70" s="4">
        <v>195826.16</v>
      </c>
      <c r="KM70" s="4">
        <v>326253.84999999998</v>
      </c>
      <c r="KN70" s="4">
        <v>109250</v>
      </c>
      <c r="KO70" s="4"/>
      <c r="KP70" s="143">
        <v>114862.49</v>
      </c>
      <c r="KQ70" s="4"/>
      <c r="KR70" s="38">
        <f>SUM(LC70:LJ70)</f>
        <v>1474587.84</v>
      </c>
      <c r="KS70" s="4">
        <f>SUM(KT70:LA70)</f>
        <v>30</v>
      </c>
      <c r="KT70" s="4">
        <v>3</v>
      </c>
      <c r="KU70" s="4">
        <v>6.5</v>
      </c>
      <c r="KV70" s="4">
        <v>6</v>
      </c>
      <c r="KW70" s="4">
        <v>2.5</v>
      </c>
      <c r="KX70" s="4">
        <v>5.5</v>
      </c>
      <c r="KY70" s="4">
        <v>3</v>
      </c>
      <c r="KZ70" s="873">
        <v>1</v>
      </c>
      <c r="LA70" s="143">
        <v>2.5</v>
      </c>
      <c r="LB70" s="4"/>
      <c r="LC70" s="4">
        <f>147175</f>
        <v>147175</v>
      </c>
      <c r="LD70" s="4">
        <v>341970.78</v>
      </c>
      <c r="LE70" s="4">
        <v>287242.3</v>
      </c>
      <c r="LF70" s="4">
        <v>139849.74</v>
      </c>
      <c r="LG70" s="4">
        <v>272003.01</v>
      </c>
      <c r="LH70" s="4">
        <f>155355.23-5303.57</f>
        <v>150051.66</v>
      </c>
      <c r="LI70" s="4"/>
      <c r="LJ70" s="143">
        <v>136295.35</v>
      </c>
      <c r="LK70" s="4"/>
      <c r="LL70" s="38">
        <f>SUM(LV70:MB70)</f>
        <v>1458632.47</v>
      </c>
      <c r="LM70" s="4">
        <f>SUM(LN70:LT70)</f>
        <v>31.5</v>
      </c>
      <c r="LN70" s="4">
        <v>7</v>
      </c>
      <c r="LO70" s="4">
        <v>3</v>
      </c>
      <c r="LP70" s="4">
        <v>3.5</v>
      </c>
      <c r="LQ70" s="4">
        <v>9</v>
      </c>
      <c r="LR70" s="4">
        <v>5</v>
      </c>
      <c r="LS70" s="873">
        <v>1.5</v>
      </c>
      <c r="LT70" s="143">
        <v>2.5</v>
      </c>
      <c r="LU70" s="4"/>
      <c r="LV70" s="4">
        <v>329900</v>
      </c>
      <c r="LW70" s="4">
        <v>157000</v>
      </c>
      <c r="LX70" s="4">
        <f>181360.71</f>
        <v>181360.71</v>
      </c>
      <c r="LY70" s="4">
        <v>430403.51</v>
      </c>
      <c r="LZ70" s="4">
        <f>251042.1-3292.1</f>
        <v>247750</v>
      </c>
      <c r="MA70" s="4"/>
      <c r="MB70" s="143">
        <v>112218.25</v>
      </c>
      <c r="MC70" s="4"/>
      <c r="MD70" s="38">
        <f>SUM(MN70:MT70)</f>
        <v>1451668.05</v>
      </c>
      <c r="ME70" s="4">
        <f>SUM(MF70:ML70)</f>
        <v>32</v>
      </c>
      <c r="MF70" s="4">
        <v>3</v>
      </c>
      <c r="MG70" s="4">
        <v>5.5</v>
      </c>
      <c r="MH70" s="4">
        <v>13</v>
      </c>
      <c r="MI70" s="4">
        <v>6</v>
      </c>
      <c r="MJ70" s="873">
        <v>1.5</v>
      </c>
      <c r="MK70" s="873">
        <v>0.5</v>
      </c>
      <c r="ML70" s="143">
        <v>2.5</v>
      </c>
      <c r="MM70" s="4"/>
      <c r="MN70" s="4">
        <f>132600-43.49</f>
        <v>132556.51</v>
      </c>
      <c r="MO70" s="4">
        <v>297150</v>
      </c>
      <c r="MP70" s="4">
        <v>626412.59</v>
      </c>
      <c r="MQ70" s="4">
        <f>284050-3000</f>
        <v>281050</v>
      </c>
      <c r="MR70" s="4"/>
      <c r="MS70" s="4"/>
      <c r="MT70" s="143">
        <v>114498.95</v>
      </c>
      <c r="MU70" s="4"/>
      <c r="MV70" s="38">
        <f>SUM(NF70:NL70)</f>
        <v>1135230.3999999999</v>
      </c>
      <c r="MW70" s="4">
        <f>SUM(MX70:ND70)</f>
        <v>24</v>
      </c>
      <c r="MX70" s="4"/>
      <c r="MY70" s="4">
        <v>5</v>
      </c>
      <c r="MZ70" s="4">
        <v>14</v>
      </c>
      <c r="NA70" s="4">
        <v>3</v>
      </c>
      <c r="NB70" s="4"/>
      <c r="NC70" s="4"/>
      <c r="ND70" s="143">
        <v>2</v>
      </c>
      <c r="NE70" s="4"/>
      <c r="NF70" s="4"/>
      <c r="NG70" s="4">
        <v>262800</v>
      </c>
      <c r="NH70" s="4">
        <v>631817.79</v>
      </c>
      <c r="NI70" s="4">
        <f>148250-1743.77</f>
        <v>146506.23000000001</v>
      </c>
      <c r="NJ70" s="4"/>
      <c r="NK70" s="4"/>
      <c r="NL70" s="143">
        <v>94106.38</v>
      </c>
      <c r="NM70" s="4"/>
      <c r="NN70" s="38">
        <f>SUM(NV70:NZ70)</f>
        <v>795379.44</v>
      </c>
      <c r="NO70" s="4">
        <f>SUM(NP70:NT70)</f>
        <v>16</v>
      </c>
      <c r="NP70" s="4"/>
      <c r="NQ70" s="4">
        <v>14</v>
      </c>
      <c r="NR70" s="4"/>
      <c r="NS70" s="4"/>
      <c r="NT70" s="143">
        <v>2</v>
      </c>
      <c r="NU70" s="4"/>
      <c r="NV70" s="4"/>
      <c r="NW70" s="4">
        <f>691879.44</f>
        <v>691879.44</v>
      </c>
      <c r="NX70" s="4"/>
      <c r="NY70" s="4"/>
      <c r="NZ70" s="143">
        <v>103500</v>
      </c>
      <c r="OA70" s="4"/>
      <c r="OB70" s="38">
        <f>SUM(OJ70:ON70)</f>
        <v>800721.22</v>
      </c>
      <c r="OC70" s="4">
        <f>SUM(OD70:OH70)</f>
        <v>16</v>
      </c>
      <c r="OD70" s="4"/>
      <c r="OE70" s="4">
        <v>14</v>
      </c>
      <c r="OF70" s="4"/>
      <c r="OG70" s="4"/>
      <c r="OH70" s="143">
        <v>2</v>
      </c>
      <c r="OI70" s="4"/>
      <c r="OJ70" s="4"/>
      <c r="OK70" s="4">
        <f>698028.82</f>
        <v>698028.82</v>
      </c>
      <c r="OL70" s="4"/>
      <c r="OM70" s="4"/>
      <c r="ON70" s="143">
        <v>102692.4</v>
      </c>
      <c r="OO70" s="4"/>
      <c r="OP70" s="38">
        <f>SUM(OX70:PB70)</f>
        <v>464231.06</v>
      </c>
      <c r="OQ70" s="4">
        <f>SUM(OR70:OV70)</f>
        <v>9</v>
      </c>
      <c r="OR70" s="4"/>
      <c r="OS70" s="4">
        <v>7</v>
      </c>
      <c r="OT70" s="4"/>
      <c r="OU70" s="4"/>
      <c r="OV70" s="143">
        <v>2</v>
      </c>
      <c r="OW70" s="4"/>
      <c r="OX70" s="4"/>
      <c r="OY70" s="4">
        <v>364665.19</v>
      </c>
      <c r="OZ70" s="4"/>
      <c r="PA70" s="4"/>
      <c r="PB70" s="143">
        <v>99565.87</v>
      </c>
      <c r="PC70" s="855"/>
      <c r="PD70" s="38">
        <f>SUM(PL70:PP70)</f>
        <v>49500</v>
      </c>
      <c r="PE70" s="4">
        <f>SUM(PF70:PJ70)</f>
        <v>1</v>
      </c>
      <c r="PF70" s="4"/>
      <c r="PG70" s="4"/>
      <c r="PH70" s="4"/>
      <c r="PI70" s="4"/>
      <c r="PJ70" s="143">
        <v>1</v>
      </c>
      <c r="PK70" s="4"/>
      <c r="PL70" s="4"/>
      <c r="PM70" s="4"/>
      <c r="PN70" s="4"/>
      <c r="PO70" s="4"/>
      <c r="PP70" s="143">
        <v>49500</v>
      </c>
      <c r="PQ70" s="855"/>
    </row>
    <row r="71" spans="2:435" s="39" customFormat="1" x14ac:dyDescent="0.2">
      <c r="D71" s="40">
        <f>D68-D70</f>
        <v>14074.76</v>
      </c>
      <c r="E71" s="40">
        <f t="shared" ref="E71:L71" si="324">E68-E70</f>
        <v>0.47</v>
      </c>
      <c r="F71" s="40">
        <f t="shared" si="324"/>
        <v>0</v>
      </c>
      <c r="G71" s="40">
        <f t="shared" si="324"/>
        <v>0</v>
      </c>
      <c r="H71" s="40">
        <f t="shared" si="324"/>
        <v>0</v>
      </c>
      <c r="I71" s="40">
        <f t="shared" si="324"/>
        <v>0</v>
      </c>
      <c r="J71" s="40">
        <f t="shared" si="324"/>
        <v>0</v>
      </c>
      <c r="K71" s="40">
        <f t="shared" si="324"/>
        <v>0</v>
      </c>
      <c r="L71" s="40">
        <f t="shared" si="324"/>
        <v>0</v>
      </c>
      <c r="M71" s="40"/>
      <c r="N71" s="40">
        <f t="shared" ref="N71:T71" si="325">N68-N70</f>
        <v>1881.21</v>
      </c>
      <c r="O71" s="40">
        <f t="shared" si="325"/>
        <v>0</v>
      </c>
      <c r="P71" s="40">
        <f t="shared" si="325"/>
        <v>0</v>
      </c>
      <c r="Q71" s="40">
        <f t="shared" si="325"/>
        <v>0</v>
      </c>
      <c r="R71" s="40">
        <f t="shared" si="325"/>
        <v>0</v>
      </c>
      <c r="S71" s="40">
        <f t="shared" si="325"/>
        <v>0</v>
      </c>
      <c r="T71" s="40">
        <f t="shared" si="325"/>
        <v>0</v>
      </c>
      <c r="U71" s="40"/>
      <c r="V71" s="40">
        <f t="shared" ref="V71:AE71" si="326">V68-V70</f>
        <v>31974.62</v>
      </c>
      <c r="W71" s="40">
        <f>W68-W70</f>
        <v>0.15</v>
      </c>
      <c r="X71" s="40">
        <f t="shared" si="326"/>
        <v>0</v>
      </c>
      <c r="Y71" s="40">
        <f t="shared" si="326"/>
        <v>0</v>
      </c>
      <c r="Z71" s="40">
        <f t="shared" si="326"/>
        <v>0</v>
      </c>
      <c r="AA71" s="40">
        <f t="shared" si="326"/>
        <v>0</v>
      </c>
      <c r="AB71" s="40">
        <f t="shared" si="326"/>
        <v>0.05</v>
      </c>
      <c r="AC71" s="40">
        <f t="shared" si="326"/>
        <v>0</v>
      </c>
      <c r="AD71" s="40">
        <f t="shared" si="326"/>
        <v>0</v>
      </c>
      <c r="AE71" s="40">
        <f t="shared" si="326"/>
        <v>0</v>
      </c>
      <c r="AF71" s="40"/>
      <c r="AG71" s="40">
        <f t="shared" ref="AG71:AW71" si="327">AG68-AG70</f>
        <v>6650</v>
      </c>
      <c r="AH71" s="40">
        <f t="shared" si="327"/>
        <v>4590</v>
      </c>
      <c r="AI71" s="40">
        <f t="shared" si="327"/>
        <v>15308.48</v>
      </c>
      <c r="AJ71" s="40">
        <f t="shared" si="327"/>
        <v>0</v>
      </c>
      <c r="AK71" s="40">
        <f t="shared" si="327"/>
        <v>1471.31</v>
      </c>
      <c r="AL71" s="40">
        <f t="shared" si="327"/>
        <v>0</v>
      </c>
      <c r="AM71" s="40">
        <f t="shared" si="327"/>
        <v>0</v>
      </c>
      <c r="AN71" s="40">
        <f t="shared" si="327"/>
        <v>-159.38999999999999</v>
      </c>
      <c r="AO71" s="40"/>
      <c r="AP71" s="40">
        <f t="shared" si="327"/>
        <v>4868.5</v>
      </c>
      <c r="AQ71" s="40">
        <f t="shared" si="327"/>
        <v>0.09</v>
      </c>
      <c r="AR71" s="40">
        <f t="shared" si="327"/>
        <v>0</v>
      </c>
      <c r="AS71" s="40">
        <f t="shared" si="327"/>
        <v>0</v>
      </c>
      <c r="AT71" s="40">
        <f t="shared" si="327"/>
        <v>0.01</v>
      </c>
      <c r="AU71" s="40">
        <f t="shared" si="327"/>
        <v>0</v>
      </c>
      <c r="AV71" s="40">
        <f t="shared" si="327"/>
        <v>0</v>
      </c>
      <c r="AW71" s="40">
        <f t="shared" si="327"/>
        <v>0</v>
      </c>
      <c r="AX71" s="40"/>
      <c r="AY71" s="40">
        <f t="shared" ref="AY71:BD71" si="328">AY68-AY70</f>
        <v>0</v>
      </c>
      <c r="AZ71" s="40">
        <f t="shared" si="328"/>
        <v>1205</v>
      </c>
      <c r="BA71" s="40">
        <f t="shared" si="328"/>
        <v>181.35</v>
      </c>
      <c r="BB71" s="40">
        <f t="shared" si="328"/>
        <v>0</v>
      </c>
      <c r="BC71" s="40">
        <f t="shared" si="328"/>
        <v>0</v>
      </c>
      <c r="BD71" s="40">
        <f t="shared" si="328"/>
        <v>26.7</v>
      </c>
      <c r="BE71" s="40"/>
      <c r="BF71" s="40">
        <f t="shared" ref="BF71:BN71" si="329">BF68-BF70</f>
        <v>5418.99</v>
      </c>
      <c r="BG71" s="40">
        <f t="shared" si="329"/>
        <v>0.03</v>
      </c>
      <c r="BH71" s="40">
        <f t="shared" si="329"/>
        <v>0</v>
      </c>
      <c r="BI71" s="40">
        <f t="shared" si="329"/>
        <v>0</v>
      </c>
      <c r="BJ71" s="40">
        <f t="shared" si="329"/>
        <v>0</v>
      </c>
      <c r="BK71" s="40">
        <f t="shared" si="329"/>
        <v>0</v>
      </c>
      <c r="BL71" s="40">
        <f t="shared" si="329"/>
        <v>0</v>
      </c>
      <c r="BM71" s="40">
        <f t="shared" si="329"/>
        <v>0</v>
      </c>
      <c r="BN71" s="40">
        <f t="shared" si="329"/>
        <v>0</v>
      </c>
      <c r="BO71" s="40"/>
      <c r="BP71" s="40">
        <f t="shared" ref="BP71:BV71" si="330">BP68-BP70</f>
        <v>0</v>
      </c>
      <c r="BQ71" s="40">
        <f t="shared" si="330"/>
        <v>0</v>
      </c>
      <c r="BR71" s="40">
        <f t="shared" si="330"/>
        <v>0</v>
      </c>
      <c r="BS71" s="40">
        <f t="shared" si="330"/>
        <v>0</v>
      </c>
      <c r="BT71" s="40">
        <f t="shared" si="330"/>
        <v>0</v>
      </c>
      <c r="BU71" s="40">
        <f t="shared" si="330"/>
        <v>499.54</v>
      </c>
      <c r="BV71" s="40">
        <f t="shared" si="330"/>
        <v>0</v>
      </c>
      <c r="BW71" s="40"/>
      <c r="BX71" s="40">
        <f t="shared" ref="BX71:CF71" si="331">BX68-BX70</f>
        <v>9334.66</v>
      </c>
      <c r="BY71" s="40">
        <f t="shared" si="331"/>
        <v>0.04</v>
      </c>
      <c r="BZ71" s="40">
        <f t="shared" si="331"/>
        <v>0</v>
      </c>
      <c r="CA71" s="40">
        <f t="shared" si="331"/>
        <v>0</v>
      </c>
      <c r="CB71" s="40">
        <f t="shared" si="331"/>
        <v>0</v>
      </c>
      <c r="CC71" s="40">
        <f t="shared" si="331"/>
        <v>0</v>
      </c>
      <c r="CD71" s="40">
        <f t="shared" si="331"/>
        <v>0</v>
      </c>
      <c r="CE71" s="40">
        <f t="shared" si="331"/>
        <v>0</v>
      </c>
      <c r="CF71" s="40">
        <f t="shared" si="331"/>
        <v>0</v>
      </c>
      <c r="CG71" s="40"/>
      <c r="CH71" s="40">
        <f t="shared" ref="CH71:CN71" si="332">CH68-CH70</f>
        <v>0</v>
      </c>
      <c r="CI71" s="40">
        <f t="shared" si="332"/>
        <v>2697.63</v>
      </c>
      <c r="CJ71" s="40">
        <f t="shared" si="332"/>
        <v>-6.87</v>
      </c>
      <c r="CK71" s="40">
        <f t="shared" si="332"/>
        <v>-3.43</v>
      </c>
      <c r="CL71" s="40">
        <f t="shared" si="332"/>
        <v>-3.43</v>
      </c>
      <c r="CM71" s="40">
        <f t="shared" si="332"/>
        <v>-158.30000000000001</v>
      </c>
      <c r="CN71" s="40">
        <f t="shared" si="332"/>
        <v>-3.44</v>
      </c>
      <c r="CO71" s="40"/>
      <c r="CP71" s="40">
        <f t="shared" ref="CP71:CX71" si="333">CP68-CP70</f>
        <v>69.22</v>
      </c>
      <c r="CQ71" s="40">
        <f t="shared" si="333"/>
        <v>0</v>
      </c>
      <c r="CR71" s="40">
        <f t="shared" si="333"/>
        <v>0</v>
      </c>
      <c r="CS71" s="40">
        <f t="shared" si="333"/>
        <v>0</v>
      </c>
      <c r="CT71" s="40">
        <f t="shared" si="333"/>
        <v>0</v>
      </c>
      <c r="CU71" s="40">
        <f t="shared" si="333"/>
        <v>0</v>
      </c>
      <c r="CV71" s="40">
        <f t="shared" si="333"/>
        <v>0</v>
      </c>
      <c r="CW71" s="40">
        <f t="shared" si="333"/>
        <v>0</v>
      </c>
      <c r="CX71" s="40">
        <f t="shared" si="333"/>
        <v>0</v>
      </c>
      <c r="CY71" s="40"/>
      <c r="CZ71" s="40">
        <f t="shared" ref="CZ71:DF71" si="334">CZ68-CZ70</f>
        <v>69.22</v>
      </c>
      <c r="DA71" s="40">
        <f t="shared" si="334"/>
        <v>0</v>
      </c>
      <c r="DB71" s="40">
        <f t="shared" si="334"/>
        <v>0</v>
      </c>
      <c r="DC71" s="40">
        <f t="shared" si="334"/>
        <v>0</v>
      </c>
      <c r="DD71" s="40">
        <f t="shared" si="334"/>
        <v>0</v>
      </c>
      <c r="DE71" s="40">
        <f t="shared" si="334"/>
        <v>0</v>
      </c>
      <c r="DF71" s="40">
        <f t="shared" si="334"/>
        <v>0</v>
      </c>
      <c r="DG71" s="40"/>
      <c r="DH71" s="40">
        <f t="shared" ref="DH71:DP71" si="335">DH68-DH70</f>
        <v>71134.27</v>
      </c>
      <c r="DI71" s="40">
        <f t="shared" si="335"/>
        <v>0.1</v>
      </c>
      <c r="DJ71" s="40">
        <f t="shared" si="335"/>
        <v>0</v>
      </c>
      <c r="DK71" s="40">
        <f t="shared" si="335"/>
        <v>0.05</v>
      </c>
      <c r="DL71" s="40">
        <f t="shared" si="335"/>
        <v>0</v>
      </c>
      <c r="DM71" s="40">
        <f t="shared" si="335"/>
        <v>0</v>
      </c>
      <c r="DN71" s="40">
        <f t="shared" si="335"/>
        <v>0</v>
      </c>
      <c r="DO71" s="40">
        <f t="shared" si="335"/>
        <v>0</v>
      </c>
      <c r="DP71" s="40">
        <f t="shared" si="335"/>
        <v>0</v>
      </c>
      <c r="DQ71" s="40"/>
      <c r="DR71" s="40">
        <f t="shared" ref="DR71:DX71" si="336">DR68-DR70</f>
        <v>0</v>
      </c>
      <c r="DS71" s="40">
        <f t="shared" si="336"/>
        <v>3618.19</v>
      </c>
      <c r="DT71" s="40">
        <f t="shared" si="336"/>
        <v>27103.19</v>
      </c>
      <c r="DU71" s="40">
        <f t="shared" si="336"/>
        <v>12856.38</v>
      </c>
      <c r="DV71" s="40">
        <f t="shared" si="336"/>
        <v>26326.45</v>
      </c>
      <c r="DW71" s="40">
        <f t="shared" si="336"/>
        <v>0.01</v>
      </c>
      <c r="DX71" s="40">
        <f t="shared" si="336"/>
        <v>0</v>
      </c>
      <c r="DY71" s="40"/>
      <c r="DZ71" s="40">
        <f t="shared" ref="DZ71:EG71" si="337">DZ68-DZ70</f>
        <v>208105</v>
      </c>
      <c r="EA71" s="40">
        <f t="shared" si="337"/>
        <v>0</v>
      </c>
      <c r="EB71" s="40">
        <f t="shared" si="337"/>
        <v>0</v>
      </c>
      <c r="EC71" s="40">
        <f t="shared" si="337"/>
        <v>0</v>
      </c>
      <c r="ED71" s="40">
        <f t="shared" si="337"/>
        <v>0</v>
      </c>
      <c r="EE71" s="40">
        <f t="shared" si="337"/>
        <v>0</v>
      </c>
      <c r="EF71" s="40">
        <f t="shared" si="337"/>
        <v>0</v>
      </c>
      <c r="EG71" s="40">
        <f t="shared" si="337"/>
        <v>0</v>
      </c>
      <c r="EH71" s="40"/>
      <c r="EI71" s="40">
        <f t="shared" ref="EI71:EN71" si="338">EI68-EI70</f>
        <v>207304.6</v>
      </c>
      <c r="EJ71" s="40">
        <f t="shared" si="338"/>
        <v>69.08</v>
      </c>
      <c r="EK71" s="40">
        <f t="shared" si="338"/>
        <v>365.67</v>
      </c>
      <c r="EL71" s="40">
        <f t="shared" si="338"/>
        <v>365.67</v>
      </c>
      <c r="EM71" s="40">
        <f t="shared" si="338"/>
        <v>0.01</v>
      </c>
      <c r="EN71" s="40">
        <f t="shared" si="338"/>
        <v>0</v>
      </c>
      <c r="EO71" s="40"/>
      <c r="EP71" s="40">
        <f t="shared" ref="EP71:EU71" si="339">EP68-EP70</f>
        <v>211100</v>
      </c>
      <c r="EQ71" s="40">
        <f t="shared" si="339"/>
        <v>0</v>
      </c>
      <c r="ER71" s="40">
        <f t="shared" si="339"/>
        <v>0</v>
      </c>
      <c r="ES71" s="40">
        <f t="shared" si="339"/>
        <v>0</v>
      </c>
      <c r="ET71" s="40">
        <f t="shared" si="339"/>
        <v>0</v>
      </c>
      <c r="EU71" s="40">
        <f t="shared" si="339"/>
        <v>0</v>
      </c>
      <c r="EV71" s="40"/>
      <c r="EW71" s="40">
        <f>EW68-EW70</f>
        <v>211100</v>
      </c>
      <c r="EX71" s="40">
        <f>EX68-EX70</f>
        <v>0</v>
      </c>
      <c r="EY71" s="40">
        <f>EY68-EY70</f>
        <v>0</v>
      </c>
      <c r="EZ71" s="40">
        <f>EZ68-EZ70</f>
        <v>0</v>
      </c>
      <c r="FA71" s="40"/>
      <c r="FB71" s="40">
        <f>FB68-FB70</f>
        <v>321067.28999999998</v>
      </c>
      <c r="FC71" s="40">
        <f>FC68-FC70</f>
        <v>0.05</v>
      </c>
      <c r="FD71" s="40">
        <f>FD68-FD70</f>
        <v>0</v>
      </c>
      <c r="FE71" s="40">
        <f>FE68-FE70</f>
        <v>0</v>
      </c>
      <c r="FF71" s="40">
        <f>FF68-FF70</f>
        <v>0</v>
      </c>
      <c r="FG71" s="40"/>
      <c r="FH71" s="40">
        <f>FH68-FH70</f>
        <v>283960.09999999998</v>
      </c>
      <c r="FI71" s="40">
        <f>FI68-FI70</f>
        <v>-58.76</v>
      </c>
      <c r="FJ71" s="40">
        <f>FJ68-FJ70</f>
        <v>0</v>
      </c>
      <c r="FK71" s="40"/>
      <c r="FL71" s="40">
        <f t="shared" ref="FL71:FR71" si="340">FL68-FL70</f>
        <v>314722.01</v>
      </c>
      <c r="FM71" s="40">
        <f t="shared" si="340"/>
        <v>0.1</v>
      </c>
      <c r="FN71" s="40">
        <f t="shared" si="340"/>
        <v>0</v>
      </c>
      <c r="FO71" s="40">
        <f t="shared" si="340"/>
        <v>0</v>
      </c>
      <c r="FP71" s="40">
        <f t="shared" si="340"/>
        <v>0</v>
      </c>
      <c r="FQ71" s="40">
        <f t="shared" si="340"/>
        <v>0</v>
      </c>
      <c r="FR71" s="40">
        <f t="shared" si="340"/>
        <v>0</v>
      </c>
      <c r="FS71" s="40"/>
      <c r="FT71" s="40">
        <f>FT68-FT70</f>
        <v>167885.81</v>
      </c>
      <c r="FU71" s="40">
        <f>FU68-FU70</f>
        <v>-93.4</v>
      </c>
      <c r="FV71" s="40">
        <f>FV68-FV70</f>
        <v>0</v>
      </c>
      <c r="FW71" s="40">
        <f>FW68-FW70</f>
        <v>0</v>
      </c>
      <c r="FX71" s="40">
        <f>FX68-FX70</f>
        <v>108472.44</v>
      </c>
      <c r="FY71" s="40"/>
      <c r="FZ71" s="40">
        <f t="shared" ref="FZ71:GE71" si="341">FZ68-FZ70</f>
        <v>1786483.4</v>
      </c>
      <c r="GA71" s="40">
        <f t="shared" si="341"/>
        <v>16.53</v>
      </c>
      <c r="GB71" s="40">
        <f t="shared" si="341"/>
        <v>16.5</v>
      </c>
      <c r="GC71" s="40">
        <f t="shared" si="341"/>
        <v>0</v>
      </c>
      <c r="GD71" s="40">
        <f t="shared" si="341"/>
        <v>0</v>
      </c>
      <c r="GE71" s="40">
        <f t="shared" si="341"/>
        <v>0</v>
      </c>
      <c r="GF71" s="40"/>
      <c r="GG71" s="40">
        <f t="shared" ref="GG71:GL71" si="342">GG68-GG70</f>
        <v>1727159.88</v>
      </c>
      <c r="GH71" s="40">
        <f t="shared" si="342"/>
        <v>676629.39</v>
      </c>
      <c r="GI71" s="40">
        <f t="shared" si="342"/>
        <v>-237.09</v>
      </c>
      <c r="GJ71" s="40">
        <f t="shared" si="342"/>
        <v>-237.09</v>
      </c>
      <c r="GK71" s="40">
        <f t="shared" si="342"/>
        <v>0</v>
      </c>
      <c r="GL71" s="40">
        <f t="shared" si="342"/>
        <v>0</v>
      </c>
      <c r="GM71" s="40"/>
      <c r="GN71" s="417">
        <f t="shared" ref="GN71:GT71" si="343">GN68-GN70</f>
        <v>5708.37</v>
      </c>
      <c r="GO71" s="40">
        <f t="shared" si="343"/>
        <v>0.11</v>
      </c>
      <c r="GP71" s="40">
        <f t="shared" si="343"/>
        <v>0</v>
      </c>
      <c r="GQ71" s="40">
        <f t="shared" si="343"/>
        <v>0</v>
      </c>
      <c r="GR71" s="40">
        <f t="shared" si="343"/>
        <v>0</v>
      </c>
      <c r="GS71" s="40">
        <f t="shared" si="343"/>
        <v>0</v>
      </c>
      <c r="GT71" s="40">
        <f t="shared" si="343"/>
        <v>0</v>
      </c>
      <c r="GU71" s="40"/>
      <c r="GV71" s="40">
        <f>GV68-GV70</f>
        <v>666.15</v>
      </c>
      <c r="GW71" s="40">
        <f>GW68-GW70</f>
        <v>0</v>
      </c>
      <c r="GX71" s="40">
        <f>GX68-GX70</f>
        <v>0</v>
      </c>
      <c r="GY71" s="40">
        <f>GY68-GY70</f>
        <v>0</v>
      </c>
      <c r="GZ71" s="40">
        <f>GZ68-GZ70</f>
        <v>0</v>
      </c>
      <c r="HA71" s="40"/>
      <c r="HB71" s="40">
        <f t="shared" ref="HB71:HK71" si="344">HB68-HB70</f>
        <v>74894.210000000006</v>
      </c>
      <c r="HC71" s="40">
        <f t="shared" si="344"/>
        <v>0.02</v>
      </c>
      <c r="HD71" s="40">
        <f t="shared" si="344"/>
        <v>0</v>
      </c>
      <c r="HE71" s="40">
        <f t="shared" si="344"/>
        <v>0</v>
      </c>
      <c r="HF71" s="40">
        <f t="shared" si="344"/>
        <v>0</v>
      </c>
      <c r="HG71" s="40">
        <f t="shared" si="344"/>
        <v>0</v>
      </c>
      <c r="HH71" s="40">
        <f t="shared" si="344"/>
        <v>0</v>
      </c>
      <c r="HI71" s="40">
        <f t="shared" si="344"/>
        <v>0</v>
      </c>
      <c r="HJ71" s="40">
        <f t="shared" si="344"/>
        <v>0</v>
      </c>
      <c r="HK71" s="40">
        <f t="shared" si="344"/>
        <v>0</v>
      </c>
      <c r="HL71" s="40"/>
      <c r="HM71" s="40">
        <f t="shared" ref="HM71:HT71" si="345">HM68-HM70</f>
        <v>0</v>
      </c>
      <c r="HN71" s="40">
        <f t="shared" si="345"/>
        <v>0</v>
      </c>
      <c r="HO71" s="40">
        <f t="shared" si="345"/>
        <v>0</v>
      </c>
      <c r="HP71" s="40">
        <f t="shared" si="345"/>
        <v>0</v>
      </c>
      <c r="HQ71" s="40">
        <f t="shared" si="345"/>
        <v>0</v>
      </c>
      <c r="HR71" s="40">
        <f t="shared" si="345"/>
        <v>0</v>
      </c>
      <c r="HS71" s="40">
        <f t="shared" si="345"/>
        <v>0</v>
      </c>
      <c r="HT71" s="40">
        <f t="shared" si="345"/>
        <v>73700</v>
      </c>
      <c r="HU71" s="40"/>
      <c r="HV71" s="40">
        <f>HV68-HV70</f>
        <v>1057402.08</v>
      </c>
      <c r="HW71" s="40">
        <f>HW68-HW70</f>
        <v>28</v>
      </c>
      <c r="HX71" s="40">
        <f>HX68-HX70</f>
        <v>0</v>
      </c>
      <c r="HY71" s="40">
        <f>HY68-HY70</f>
        <v>0</v>
      </c>
      <c r="HZ71" s="40"/>
      <c r="IA71" s="40">
        <f>IA68-IA70</f>
        <v>0</v>
      </c>
      <c r="IB71" s="40">
        <f>IB68-IB70</f>
        <v>0</v>
      </c>
      <c r="IC71" s="40"/>
      <c r="ID71" s="40">
        <f t="shared" ref="ID71:IN71" si="346">ID68-ID70</f>
        <v>73595.899999999994</v>
      </c>
      <c r="IE71" s="40">
        <f t="shared" si="346"/>
        <v>0.15</v>
      </c>
      <c r="IF71" s="40">
        <f t="shared" si="346"/>
        <v>0</v>
      </c>
      <c r="IG71" s="40">
        <f t="shared" si="346"/>
        <v>0</v>
      </c>
      <c r="IH71" s="40">
        <f t="shared" si="346"/>
        <v>0</v>
      </c>
      <c r="II71" s="40">
        <f t="shared" si="346"/>
        <v>0</v>
      </c>
      <c r="IJ71" s="40">
        <f t="shared" si="346"/>
        <v>0</v>
      </c>
      <c r="IK71" s="40">
        <f t="shared" si="346"/>
        <v>0</v>
      </c>
      <c r="IL71" s="40">
        <f t="shared" si="346"/>
        <v>0</v>
      </c>
      <c r="IM71" s="40">
        <f t="shared" si="346"/>
        <v>0</v>
      </c>
      <c r="IN71" s="40">
        <f t="shared" si="346"/>
        <v>0</v>
      </c>
      <c r="IO71" s="40"/>
      <c r="IP71" s="40">
        <f t="shared" ref="IP71:IX71" si="347">IP68-IP70</f>
        <v>0</v>
      </c>
      <c r="IQ71" s="40">
        <f t="shared" si="347"/>
        <v>0</v>
      </c>
      <c r="IR71" s="40">
        <f t="shared" si="347"/>
        <v>0</v>
      </c>
      <c r="IS71" s="40">
        <f t="shared" si="347"/>
        <v>17.329999999999998</v>
      </c>
      <c r="IT71" s="40">
        <f t="shared" si="347"/>
        <v>0</v>
      </c>
      <c r="IU71" s="40">
        <f t="shared" si="347"/>
        <v>0</v>
      </c>
      <c r="IV71" s="40">
        <f t="shared" si="347"/>
        <v>0</v>
      </c>
      <c r="IW71" s="40">
        <f t="shared" si="347"/>
        <v>63973</v>
      </c>
      <c r="IX71" s="40">
        <f t="shared" si="347"/>
        <v>0</v>
      </c>
      <c r="IY71" s="40"/>
      <c r="IZ71" s="40">
        <f t="shared" ref="IZ71" si="348">IZ68-IZ70</f>
        <v>211582.1</v>
      </c>
      <c r="JA71" s="40">
        <f t="shared" ref="JA71" si="349">JA68-JA70</f>
        <v>0</v>
      </c>
      <c r="JB71" s="40">
        <f t="shared" ref="JB71" si="350">JB68-JB70</f>
        <v>0</v>
      </c>
      <c r="JC71" s="40">
        <f t="shared" ref="JC71" si="351">JC68-JC70</f>
        <v>0</v>
      </c>
      <c r="JD71" s="40">
        <f t="shared" ref="JD71" si="352">JD68-JD70</f>
        <v>0</v>
      </c>
      <c r="JE71" s="40">
        <f t="shared" ref="JE71" si="353">JE68-JE70</f>
        <v>0</v>
      </c>
      <c r="JF71" s="40">
        <f t="shared" ref="JF71" si="354">JF68-JF70</f>
        <v>0</v>
      </c>
      <c r="JG71" s="40">
        <f t="shared" ref="JG71" si="355">JG68-JG70</f>
        <v>0</v>
      </c>
      <c r="JH71" s="40">
        <f t="shared" ref="JH71" si="356">JH68-JH70</f>
        <v>0</v>
      </c>
      <c r="JI71" s="40">
        <f t="shared" ref="JI71" si="357">JI68-JI70</f>
        <v>0</v>
      </c>
      <c r="JJ71" s="40">
        <f t="shared" ref="JJ71" si="358">JJ68-JJ70</f>
        <v>0</v>
      </c>
      <c r="JK71" s="40"/>
      <c r="JL71" s="40">
        <f t="shared" ref="JL71" si="359">JL68-JL70</f>
        <v>1027.03</v>
      </c>
      <c r="JM71" s="40">
        <f t="shared" ref="JM71" si="360">JM68-JM70</f>
        <v>150255.07999999999</v>
      </c>
      <c r="JN71" s="40">
        <f t="shared" ref="JN71" si="361">JN68-JN70</f>
        <v>0</v>
      </c>
      <c r="JO71" s="40">
        <f t="shared" ref="JO71" si="362">JO68-JO70</f>
        <v>0</v>
      </c>
      <c r="JP71" s="40">
        <f t="shared" ref="JP71" si="363">JP68-JP70</f>
        <v>0</v>
      </c>
      <c r="JQ71" s="40">
        <f t="shared" ref="JQ71" si="364">JQ68-JQ70</f>
        <v>0</v>
      </c>
      <c r="JR71" s="40">
        <f t="shared" ref="JR71" si="365">JR68-JR70</f>
        <v>0</v>
      </c>
      <c r="JS71" s="40">
        <f t="shared" ref="JS71" si="366">JS68-JS70</f>
        <v>60300</v>
      </c>
      <c r="JT71" s="40">
        <f t="shared" ref="JT71" si="367">JT68-JT70</f>
        <v>0</v>
      </c>
      <c r="JU71" s="40"/>
      <c r="JV71" s="40">
        <f t="shared" ref="JV71:KF71" si="368">JV68-JV70</f>
        <v>48780.94</v>
      </c>
      <c r="JW71" s="40">
        <f t="shared" si="368"/>
        <v>0</v>
      </c>
      <c r="JX71" s="40">
        <f t="shared" si="368"/>
        <v>0</v>
      </c>
      <c r="JY71" s="40">
        <f t="shared" ref="JY71" si="369">JY68-JY70</f>
        <v>0</v>
      </c>
      <c r="JZ71" s="40">
        <f t="shared" si="368"/>
        <v>0</v>
      </c>
      <c r="KA71" s="40">
        <f t="shared" si="368"/>
        <v>0</v>
      </c>
      <c r="KB71" s="40">
        <f t="shared" si="368"/>
        <v>0</v>
      </c>
      <c r="KC71" s="40">
        <f t="shared" si="368"/>
        <v>0</v>
      </c>
      <c r="KD71" s="40">
        <f t="shared" si="368"/>
        <v>0</v>
      </c>
      <c r="KE71" s="40">
        <f t="shared" si="368"/>
        <v>0</v>
      </c>
      <c r="KF71" s="40">
        <f t="shared" si="368"/>
        <v>0</v>
      </c>
      <c r="KG71" s="40"/>
      <c r="KH71" s="40">
        <f t="shared" ref="KH71:KP71" si="370">KH68-KH70</f>
        <v>2090.48</v>
      </c>
      <c r="KI71" s="40">
        <f t="shared" ref="KI71" si="371">KI68-KI70</f>
        <v>-1309.52</v>
      </c>
      <c r="KJ71" s="40">
        <f t="shared" si="370"/>
        <v>0</v>
      </c>
      <c r="KK71" s="40">
        <f t="shared" si="370"/>
        <v>0</v>
      </c>
      <c r="KL71" s="40">
        <f t="shared" si="370"/>
        <v>0</v>
      </c>
      <c r="KM71" s="40">
        <f t="shared" si="370"/>
        <v>0</v>
      </c>
      <c r="KN71" s="40">
        <f t="shared" si="370"/>
        <v>0</v>
      </c>
      <c r="KO71" s="40">
        <f t="shared" si="370"/>
        <v>48000</v>
      </c>
      <c r="KP71" s="40">
        <f t="shared" si="370"/>
        <v>0</v>
      </c>
      <c r="KQ71" s="40"/>
      <c r="KR71" s="40">
        <f t="shared" ref="KR71:LA71" si="372">KR68-KR70</f>
        <v>77887.28</v>
      </c>
      <c r="KS71" s="40">
        <f t="shared" si="372"/>
        <v>0.28000000000000003</v>
      </c>
      <c r="KT71" s="40">
        <f t="shared" si="372"/>
        <v>0</v>
      </c>
      <c r="KU71" s="40">
        <f t="shared" si="372"/>
        <v>0</v>
      </c>
      <c r="KV71" s="40">
        <f t="shared" si="372"/>
        <v>0</v>
      </c>
      <c r="KW71" s="40">
        <f t="shared" si="372"/>
        <v>0</v>
      </c>
      <c r="KX71" s="40">
        <f t="shared" si="372"/>
        <v>0</v>
      </c>
      <c r="KY71" s="40">
        <f t="shared" si="372"/>
        <v>0</v>
      </c>
      <c r="KZ71" s="40">
        <f t="shared" si="372"/>
        <v>0</v>
      </c>
      <c r="LA71" s="40">
        <f t="shared" si="372"/>
        <v>0</v>
      </c>
      <c r="LB71" s="40"/>
      <c r="LC71" s="40">
        <f t="shared" ref="LC71:LJ71" si="373">LC68-LC70</f>
        <v>6833.7</v>
      </c>
      <c r="LD71" s="40">
        <f t="shared" si="373"/>
        <v>0</v>
      </c>
      <c r="LE71" s="40">
        <f t="shared" si="373"/>
        <v>0.01</v>
      </c>
      <c r="LF71" s="40">
        <f t="shared" si="373"/>
        <v>0</v>
      </c>
      <c r="LG71" s="40">
        <f t="shared" si="373"/>
        <v>0</v>
      </c>
      <c r="LH71" s="40">
        <f t="shared" si="373"/>
        <v>5303.57</v>
      </c>
      <c r="LI71" s="40">
        <f t="shared" si="373"/>
        <v>55321.43</v>
      </c>
      <c r="LJ71" s="40">
        <f t="shared" si="373"/>
        <v>0</v>
      </c>
      <c r="LK71" s="40"/>
      <c r="LL71" s="40">
        <f t="shared" ref="LL71:LT71" si="374">LL68-LL70</f>
        <v>74279.259999999995</v>
      </c>
      <c r="LM71" s="40">
        <f t="shared" si="374"/>
        <v>0.37</v>
      </c>
      <c r="LN71" s="40">
        <f t="shared" si="374"/>
        <v>0</v>
      </c>
      <c r="LO71" s="40">
        <f t="shared" si="374"/>
        <v>0</v>
      </c>
      <c r="LP71" s="40">
        <f t="shared" si="374"/>
        <v>0</v>
      </c>
      <c r="LQ71" s="40">
        <f t="shared" si="374"/>
        <v>0</v>
      </c>
      <c r="LR71" s="40">
        <f t="shared" si="374"/>
        <v>0</v>
      </c>
      <c r="LS71" s="40">
        <f t="shared" si="374"/>
        <v>0</v>
      </c>
      <c r="LT71" s="40">
        <f t="shared" si="374"/>
        <v>0</v>
      </c>
      <c r="LU71" s="40"/>
      <c r="LV71" s="40">
        <f t="shared" ref="LV71:MB71" si="375">LV68-LV70</f>
        <v>-47452.89</v>
      </c>
      <c r="LW71" s="40">
        <f t="shared" si="375"/>
        <v>-1143.04</v>
      </c>
      <c r="LX71" s="40">
        <f t="shared" si="375"/>
        <v>0</v>
      </c>
      <c r="LY71" s="40">
        <f t="shared" si="375"/>
        <v>0</v>
      </c>
      <c r="LZ71" s="40">
        <f t="shared" si="375"/>
        <v>3292.1</v>
      </c>
      <c r="MA71" s="40">
        <f t="shared" si="375"/>
        <v>95700</v>
      </c>
      <c r="MB71" s="40">
        <f t="shared" si="375"/>
        <v>0</v>
      </c>
      <c r="MC71" s="40"/>
      <c r="MD71" s="40">
        <f t="shared" ref="MD71:ML71" si="376">MD68-MD70</f>
        <v>140074.89000000001</v>
      </c>
      <c r="ME71" s="40">
        <f t="shared" si="376"/>
        <v>0</v>
      </c>
      <c r="MF71" s="40">
        <f t="shared" si="376"/>
        <v>0</v>
      </c>
      <c r="MG71" s="40">
        <f t="shared" si="376"/>
        <v>0</v>
      </c>
      <c r="MH71" s="40">
        <f t="shared" si="376"/>
        <v>0</v>
      </c>
      <c r="MI71" s="40">
        <f t="shared" si="376"/>
        <v>0</v>
      </c>
      <c r="MJ71" s="40">
        <f t="shared" ref="MJ71" si="377">MJ68-MJ70</f>
        <v>0</v>
      </c>
      <c r="MK71" s="40">
        <f t="shared" si="376"/>
        <v>0</v>
      </c>
      <c r="ML71" s="40">
        <f t="shared" si="376"/>
        <v>0</v>
      </c>
      <c r="MM71" s="40"/>
      <c r="MN71" s="40">
        <f t="shared" ref="MN71:MT71" si="378">MN68-MN70</f>
        <v>5331.8</v>
      </c>
      <c r="MO71" s="40">
        <f t="shared" si="378"/>
        <v>1191.23</v>
      </c>
      <c r="MP71" s="40">
        <f t="shared" si="378"/>
        <v>0</v>
      </c>
      <c r="MQ71" s="40">
        <f t="shared" si="378"/>
        <v>-6151.05</v>
      </c>
      <c r="MR71" s="40">
        <f t="shared" ref="MR71" si="379">MR68-MR70</f>
        <v>99324.45</v>
      </c>
      <c r="MS71" s="40">
        <f t="shared" si="378"/>
        <v>40378.47</v>
      </c>
      <c r="MT71" s="40">
        <f t="shared" si="378"/>
        <v>0</v>
      </c>
      <c r="MU71" s="40"/>
      <c r="MV71" s="40">
        <f t="shared" ref="MV71:ND71" si="380">MV68-MV70</f>
        <v>730252.01</v>
      </c>
      <c r="MW71" s="40">
        <f t="shared" si="380"/>
        <v>14.84</v>
      </c>
      <c r="MX71" s="40">
        <f t="shared" si="380"/>
        <v>0</v>
      </c>
      <c r="MY71" s="40">
        <f t="shared" si="380"/>
        <v>0</v>
      </c>
      <c r="MZ71" s="40">
        <f t="shared" si="380"/>
        <v>0</v>
      </c>
      <c r="NA71" s="40">
        <f t="shared" si="380"/>
        <v>0</v>
      </c>
      <c r="NB71" s="40">
        <f t="shared" ref="NB71" si="381">NB68-NB70</f>
        <v>0</v>
      </c>
      <c r="NC71" s="40">
        <f t="shared" si="380"/>
        <v>0</v>
      </c>
      <c r="ND71" s="40">
        <f t="shared" si="380"/>
        <v>0</v>
      </c>
      <c r="NE71" s="40"/>
      <c r="NF71" s="40">
        <f t="shared" ref="NF71:NL71" si="382">NF68-NF70</f>
        <v>0</v>
      </c>
      <c r="NG71" s="40">
        <f t="shared" si="382"/>
        <v>-1428.2</v>
      </c>
      <c r="NH71" s="40">
        <f t="shared" si="382"/>
        <v>0</v>
      </c>
      <c r="NI71" s="40">
        <f t="shared" si="382"/>
        <v>-8156.23</v>
      </c>
      <c r="NJ71" s="40">
        <f t="shared" ref="NJ71" si="383">NJ68-NJ70</f>
        <v>0</v>
      </c>
      <c r="NK71" s="40">
        <f t="shared" si="382"/>
        <v>0</v>
      </c>
      <c r="NL71" s="40">
        <f t="shared" si="382"/>
        <v>0</v>
      </c>
      <c r="NM71" s="40"/>
      <c r="NN71" s="40">
        <f t="shared" ref="NN71:NT71" si="384">NN68-NN70</f>
        <v>1146544.83</v>
      </c>
      <c r="NO71" s="40">
        <f t="shared" si="384"/>
        <v>21.71</v>
      </c>
      <c r="NP71" s="40">
        <f t="shared" si="384"/>
        <v>0</v>
      </c>
      <c r="NQ71" s="40">
        <f t="shared" si="384"/>
        <v>0</v>
      </c>
      <c r="NR71" s="40">
        <f t="shared" si="384"/>
        <v>0</v>
      </c>
      <c r="NS71" s="40">
        <f t="shared" si="384"/>
        <v>0</v>
      </c>
      <c r="NT71" s="40">
        <f t="shared" si="384"/>
        <v>0</v>
      </c>
      <c r="NU71" s="40"/>
      <c r="NV71" s="40">
        <f t="shared" ref="NV71:NZ71" si="385">NV68-NV70</f>
        <v>0</v>
      </c>
      <c r="NW71" s="40">
        <f t="shared" si="385"/>
        <v>0</v>
      </c>
      <c r="NX71" s="40">
        <f t="shared" si="385"/>
        <v>0</v>
      </c>
      <c r="NY71" s="40">
        <f t="shared" si="385"/>
        <v>0</v>
      </c>
      <c r="NZ71" s="40">
        <f t="shared" si="385"/>
        <v>0</v>
      </c>
      <c r="OA71" s="40"/>
      <c r="OB71" s="40">
        <f t="shared" ref="OB71:OH71" si="386">OB68-OB70</f>
        <v>1103266.6499999999</v>
      </c>
      <c r="OC71" s="40">
        <f t="shared" si="386"/>
        <v>21.5</v>
      </c>
      <c r="OD71" s="40">
        <f t="shared" si="386"/>
        <v>0</v>
      </c>
      <c r="OE71" s="40">
        <f t="shared" si="386"/>
        <v>0</v>
      </c>
      <c r="OF71" s="40">
        <f t="shared" si="386"/>
        <v>0</v>
      </c>
      <c r="OG71" s="40">
        <f t="shared" si="386"/>
        <v>0</v>
      </c>
      <c r="OH71" s="40">
        <f t="shared" si="386"/>
        <v>0</v>
      </c>
      <c r="OI71" s="40"/>
      <c r="OJ71" s="40">
        <f t="shared" ref="OJ71:ON71" si="387">OJ68-OJ70</f>
        <v>0</v>
      </c>
      <c r="OK71" s="40">
        <f t="shared" si="387"/>
        <v>0</v>
      </c>
      <c r="OL71" s="40">
        <f t="shared" si="387"/>
        <v>0</v>
      </c>
      <c r="OM71" s="40">
        <f t="shared" si="387"/>
        <v>0</v>
      </c>
      <c r="ON71" s="40">
        <f t="shared" si="387"/>
        <v>0</v>
      </c>
      <c r="OO71" s="40"/>
      <c r="OP71" s="40">
        <f t="shared" ref="OP71:OV71" si="388">OP68-OP70</f>
        <v>1446207.85</v>
      </c>
      <c r="OQ71" s="40">
        <f t="shared" si="388"/>
        <v>28.5</v>
      </c>
      <c r="OR71" s="40">
        <f t="shared" si="388"/>
        <v>0</v>
      </c>
      <c r="OS71" s="40">
        <f t="shared" si="388"/>
        <v>0</v>
      </c>
      <c r="OT71" s="40">
        <f t="shared" si="388"/>
        <v>0</v>
      </c>
      <c r="OU71" s="40">
        <f t="shared" si="388"/>
        <v>0</v>
      </c>
      <c r="OV71" s="40">
        <f t="shared" si="388"/>
        <v>0</v>
      </c>
      <c r="OW71" s="40"/>
      <c r="OX71" s="40">
        <f t="shared" ref="OX71:PB71" si="389">OX68-OX70</f>
        <v>0</v>
      </c>
      <c r="OY71" s="40">
        <f t="shared" si="389"/>
        <v>0</v>
      </c>
      <c r="OZ71" s="40">
        <f t="shared" si="389"/>
        <v>0</v>
      </c>
      <c r="PA71" s="40">
        <f t="shared" si="389"/>
        <v>0</v>
      </c>
      <c r="PB71" s="40">
        <f t="shared" si="389"/>
        <v>0</v>
      </c>
      <c r="PC71" s="856"/>
      <c r="PD71" s="40">
        <f t="shared" ref="PD71:PJ71" si="390">PD68-PD70</f>
        <v>1860150</v>
      </c>
      <c r="PE71" s="40">
        <f t="shared" si="390"/>
        <v>36.5</v>
      </c>
      <c r="PF71" s="40">
        <f t="shared" si="390"/>
        <v>0</v>
      </c>
      <c r="PG71" s="40">
        <f t="shared" si="390"/>
        <v>0</v>
      </c>
      <c r="PH71" s="40">
        <f t="shared" si="390"/>
        <v>0</v>
      </c>
      <c r="PI71" s="40">
        <f t="shared" si="390"/>
        <v>0</v>
      </c>
      <c r="PJ71" s="40">
        <f t="shared" si="390"/>
        <v>0</v>
      </c>
      <c r="PK71" s="40"/>
      <c r="PL71" s="40">
        <f t="shared" ref="PL71:PP71" si="391">PL68-PL70</f>
        <v>0</v>
      </c>
      <c r="PM71" s="40">
        <f t="shared" si="391"/>
        <v>0</v>
      </c>
      <c r="PN71" s="40">
        <f t="shared" si="391"/>
        <v>0</v>
      </c>
      <c r="PO71" s="40">
        <f t="shared" si="391"/>
        <v>0</v>
      </c>
      <c r="PP71" s="40">
        <f t="shared" si="391"/>
        <v>0</v>
      </c>
      <c r="PQ71" s="856"/>
    </row>
    <row r="73" spans="2:435" x14ac:dyDescent="0.2">
      <c r="N73" s="4">
        <f t="shared" ref="N73:T73" si="392">N68/F68</f>
        <v>39303.47</v>
      </c>
      <c r="O73" s="4">
        <f t="shared" si="392"/>
        <v>33533.33</v>
      </c>
      <c r="P73" s="4">
        <f t="shared" si="392"/>
        <v>42100</v>
      </c>
      <c r="Q73" s="4">
        <f t="shared" si="392"/>
        <v>41625</v>
      </c>
      <c r="R73" s="4">
        <f t="shared" si="392"/>
        <v>37487.5</v>
      </c>
      <c r="S73" s="4">
        <f t="shared" si="392"/>
        <v>36762.5</v>
      </c>
      <c r="T73" s="4">
        <f t="shared" si="392"/>
        <v>36250</v>
      </c>
      <c r="AG73" s="4">
        <f t="shared" ref="AG73:AN73" si="393">AG68/X68</f>
        <v>25500</v>
      </c>
      <c r="AH73" s="4">
        <f t="shared" si="393"/>
        <v>73700</v>
      </c>
      <c r="AI73" s="4">
        <f t="shared" si="393"/>
        <v>43073.39</v>
      </c>
      <c r="AJ73" s="4">
        <f t="shared" si="393"/>
        <v>41800</v>
      </c>
      <c r="AK73" s="4">
        <f t="shared" si="393"/>
        <v>38872.639999999999</v>
      </c>
      <c r="AL73" s="4">
        <f t="shared" si="393"/>
        <v>44125</v>
      </c>
      <c r="AM73" s="4">
        <f t="shared" si="393"/>
        <v>45660</v>
      </c>
      <c r="AN73" s="4">
        <f t="shared" si="393"/>
        <v>53826.17</v>
      </c>
      <c r="AY73" s="4">
        <f t="shared" ref="AY73:BD73" si="394">AY68/AR68</f>
        <v>42100</v>
      </c>
      <c r="AZ73" s="4">
        <f t="shared" si="394"/>
        <v>41275</v>
      </c>
      <c r="BA73" s="4">
        <f t="shared" si="394"/>
        <v>43209.74</v>
      </c>
      <c r="BB73" s="4">
        <f t="shared" si="394"/>
        <v>42712.5</v>
      </c>
      <c r="BC73" s="4">
        <f t="shared" si="394"/>
        <v>38100</v>
      </c>
      <c r="BD73" s="4">
        <f t="shared" si="394"/>
        <v>51538.76</v>
      </c>
      <c r="BP73" s="4">
        <f t="shared" ref="BP73:BV73" si="395">BP68/BH68</f>
        <v>43437.5</v>
      </c>
      <c r="BQ73" s="4">
        <f t="shared" si="395"/>
        <v>42466.67</v>
      </c>
      <c r="BR73" s="4">
        <f t="shared" si="395"/>
        <v>44340</v>
      </c>
      <c r="BS73" s="4">
        <f t="shared" si="395"/>
        <v>44225</v>
      </c>
      <c r="BT73" s="4">
        <f t="shared" si="395"/>
        <v>44489.79</v>
      </c>
      <c r="BU73" s="4">
        <f t="shared" si="395"/>
        <v>79527.17</v>
      </c>
      <c r="BV73" s="4">
        <f t="shared" si="395"/>
        <v>39518.18</v>
      </c>
      <c r="CH73" s="4">
        <f t="shared" ref="CH73:CN73" si="396">CH68/BZ68</f>
        <v>41833.33</v>
      </c>
      <c r="CI73" s="4">
        <f t="shared" si="396"/>
        <v>39798.42</v>
      </c>
      <c r="CJ73" s="4">
        <f t="shared" si="396"/>
        <v>43161.61</v>
      </c>
      <c r="CK73" s="4">
        <f t="shared" si="396"/>
        <v>41877.94</v>
      </c>
      <c r="CL73" s="4">
        <f t="shared" si="396"/>
        <v>44657.64</v>
      </c>
      <c r="CM73" s="4">
        <f t="shared" si="396"/>
        <v>43127.63</v>
      </c>
      <c r="CN73" s="4">
        <f t="shared" si="396"/>
        <v>42367.05</v>
      </c>
      <c r="CZ73" s="4">
        <f t="shared" ref="CZ73:DF73" si="397">CZ68/CR68</f>
        <v>42379.48</v>
      </c>
      <c r="DA73" s="4">
        <f t="shared" si="397"/>
        <v>40100</v>
      </c>
      <c r="DB73" s="4">
        <f t="shared" si="397"/>
        <v>41991.97</v>
      </c>
      <c r="DC73" s="4">
        <f t="shared" si="397"/>
        <v>42265.86</v>
      </c>
      <c r="DD73" s="4">
        <f t="shared" si="397"/>
        <v>43387.69</v>
      </c>
      <c r="DE73" s="4">
        <f t="shared" si="397"/>
        <v>31963.51</v>
      </c>
      <c r="DF73" s="4">
        <f t="shared" si="397"/>
        <v>35975.410000000003</v>
      </c>
      <c r="DR73" s="4">
        <f t="shared" ref="DR73:DX73" si="398">DR68/DJ68</f>
        <v>42400.11</v>
      </c>
      <c r="DS73" s="4">
        <f t="shared" si="398"/>
        <v>43874.47</v>
      </c>
      <c r="DT73" s="4">
        <f t="shared" si="398"/>
        <v>42655.87</v>
      </c>
      <c r="DU73" s="4">
        <f t="shared" si="398"/>
        <v>45045.52</v>
      </c>
      <c r="DV73" s="4">
        <f t="shared" si="398"/>
        <v>41593.11</v>
      </c>
      <c r="DW73" s="4">
        <f t="shared" si="398"/>
        <v>29889.8</v>
      </c>
      <c r="DX73" s="4">
        <f t="shared" si="398"/>
        <v>39056.15</v>
      </c>
      <c r="EI73" s="4">
        <f t="shared" ref="EI73:EN73" si="399">EI68/EB68</f>
        <v>41460.92</v>
      </c>
      <c r="EJ73" s="4">
        <f t="shared" si="399"/>
        <v>42519.08</v>
      </c>
      <c r="EK73" s="4">
        <f t="shared" si="399"/>
        <v>40765.67</v>
      </c>
      <c r="EL73" s="4">
        <f t="shared" si="399"/>
        <v>40765.67</v>
      </c>
      <c r="EM73" s="4">
        <f t="shared" si="399"/>
        <v>37871.760000000002</v>
      </c>
      <c r="EN73" s="4">
        <f t="shared" si="399"/>
        <v>39329.480000000003</v>
      </c>
      <c r="EW73" s="4">
        <f>EW68/ER68</f>
        <v>42220</v>
      </c>
      <c r="EX73" s="4">
        <f>EX68/ES68</f>
        <v>43850</v>
      </c>
      <c r="EY73" s="4">
        <f>EY68/ET68</f>
        <v>36654.42</v>
      </c>
      <c r="EZ73" s="4">
        <f>EZ68/EU68</f>
        <v>43269.15</v>
      </c>
      <c r="FH73" s="4">
        <f>FH68/FD68</f>
        <v>40565.730000000003</v>
      </c>
      <c r="FI73" s="4">
        <f>FI68/FE68</f>
        <v>25873.19</v>
      </c>
      <c r="FJ73" s="4">
        <f>FJ68/FF68</f>
        <v>43500</v>
      </c>
      <c r="FT73" s="4">
        <f>FT68/FN68</f>
        <v>41971.45</v>
      </c>
      <c r="FU73" s="4">
        <f>FU68/FO68</f>
        <v>29739.22</v>
      </c>
      <c r="FV73" s="4">
        <f>FV68/FP68</f>
        <v>39200</v>
      </c>
      <c r="FW73" s="4">
        <f>FW68/FQ68</f>
        <v>41550</v>
      </c>
      <c r="FX73" s="4">
        <f>FX68/FR68</f>
        <v>55262.27</v>
      </c>
      <c r="GG73" s="4">
        <f>GG68/GB68</f>
        <v>104676.36</v>
      </c>
      <c r="GH73" s="4">
        <f>GH68/GB68</f>
        <v>41007.839999999997</v>
      </c>
      <c r="GI73" s="4">
        <f>GI68/GC68</f>
        <v>52166.54</v>
      </c>
      <c r="GJ73" s="4">
        <f>GJ68/GD68</f>
        <v>390043.52</v>
      </c>
      <c r="GK73" s="4">
        <f>GK68/GD68</f>
        <v>41000</v>
      </c>
      <c r="GL73" s="4">
        <f>GL68/GE68</f>
        <v>39800</v>
      </c>
      <c r="GV73" s="4">
        <f>GV68/GP68</f>
        <v>41483.17</v>
      </c>
      <c r="GW73" s="4">
        <f>GW68/GQ68</f>
        <v>35291.440000000002</v>
      </c>
      <c r="GX73" s="4">
        <f t="shared" ref="GX73:GZ73" si="400">GX68/GR68</f>
        <v>36281.730000000003</v>
      </c>
      <c r="GY73" s="4">
        <f t="shared" si="400"/>
        <v>49750</v>
      </c>
      <c r="GZ73" s="4">
        <f t="shared" si="400"/>
        <v>34069.040000000001</v>
      </c>
      <c r="HM73" s="4">
        <f>HM68/HD68</f>
        <v>57310</v>
      </c>
      <c r="HN73" s="4">
        <f t="shared" ref="HN73:HT73" si="401">HN68/HE68</f>
        <v>45667.07</v>
      </c>
      <c r="HO73" s="4">
        <f t="shared" si="401"/>
        <v>48496.67</v>
      </c>
      <c r="HP73" s="4">
        <f t="shared" si="401"/>
        <v>49947.5</v>
      </c>
      <c r="HQ73" s="4">
        <f t="shared" si="401"/>
        <v>52844</v>
      </c>
      <c r="HR73" s="4">
        <f t="shared" si="401"/>
        <v>58950</v>
      </c>
      <c r="HS73" s="4">
        <f t="shared" si="401"/>
        <v>53215</v>
      </c>
      <c r="HT73" s="4">
        <f t="shared" si="401"/>
        <v>73700</v>
      </c>
      <c r="IA73" s="4"/>
      <c r="IP73" s="4">
        <f>IP68/IF68</f>
        <v>57310</v>
      </c>
      <c r="IQ73" s="4">
        <f t="shared" ref="IQ73" si="402">IQ68/IG68</f>
        <v>48531.46</v>
      </c>
      <c r="IR73" s="4">
        <f t="shared" ref="IR73" si="403">IR68/IH68</f>
        <v>48736.75</v>
      </c>
      <c r="IS73" s="4">
        <f t="shared" ref="IS73" si="404">IS68/II68</f>
        <v>48088.47</v>
      </c>
      <c r="IT73" s="4">
        <f t="shared" ref="IT73" si="405">IT68/IJ68</f>
        <v>42263.54</v>
      </c>
      <c r="IU73" s="4">
        <f t="shared" ref="IU73" si="406">IU68/IK68</f>
        <v>54411.48</v>
      </c>
      <c r="IV73" s="4">
        <f t="shared" ref="IV73" si="407">IV68/IL68</f>
        <v>49920.25</v>
      </c>
      <c r="IW73" s="4">
        <f t="shared" ref="IW73:IX73" si="408">IW68/IM68</f>
        <v>63973</v>
      </c>
      <c r="IX73" s="4">
        <f t="shared" si="408"/>
        <v>45888.69</v>
      </c>
      <c r="JL73" s="4">
        <f>JL70/JB70</f>
        <v>54441.67</v>
      </c>
      <c r="JM73" s="4">
        <f>JM70/JC70</f>
        <v>36176.449999999997</v>
      </c>
      <c r="JN73" s="4">
        <f t="shared" ref="JN73:JT73" si="409">JN68/JD68</f>
        <v>61000</v>
      </c>
      <c r="JO73" s="4">
        <f t="shared" si="409"/>
        <v>52375</v>
      </c>
      <c r="JP73" s="4">
        <f t="shared" si="409"/>
        <v>46043.39</v>
      </c>
      <c r="JQ73" s="4">
        <f t="shared" si="409"/>
        <v>56281.42</v>
      </c>
      <c r="JR73" s="4">
        <f t="shared" si="409"/>
        <v>47121.62</v>
      </c>
      <c r="JS73" s="4">
        <f t="shared" si="409"/>
        <v>60300</v>
      </c>
      <c r="JT73" s="4">
        <f t="shared" si="409"/>
        <v>60747.75</v>
      </c>
      <c r="KH73" s="4">
        <f>KH70/JX70</f>
        <v>42087.5</v>
      </c>
      <c r="KI73" s="4">
        <f>KI70/JY70</f>
        <v>49941.67</v>
      </c>
      <c r="KJ73" s="4">
        <f t="shared" ref="KJ73:KP73" si="410">KJ68/JZ68</f>
        <v>52690.91</v>
      </c>
      <c r="KK73" s="4">
        <f t="shared" si="410"/>
        <v>48067.95</v>
      </c>
      <c r="KL73" s="4">
        <f t="shared" si="410"/>
        <v>48956.54</v>
      </c>
      <c r="KM73" s="4">
        <f t="shared" si="410"/>
        <v>54375.64</v>
      </c>
      <c r="KN73" s="4">
        <f t="shared" si="410"/>
        <v>54625</v>
      </c>
      <c r="KO73" s="4">
        <f t="shared" si="410"/>
        <v>48000</v>
      </c>
      <c r="KP73" s="4">
        <f t="shared" si="410"/>
        <v>45945</v>
      </c>
      <c r="LC73" s="4">
        <f>LC70/KT70</f>
        <v>49058.33</v>
      </c>
      <c r="LD73" s="4">
        <f t="shared" ref="LD73" si="411">LD68/KU68</f>
        <v>52610.89</v>
      </c>
      <c r="LE73" s="4">
        <f t="shared" ref="LE73" si="412">LE68/KV68</f>
        <v>47873.72</v>
      </c>
      <c r="LF73" s="4">
        <f t="shared" ref="LF73" si="413">LF68/KW68</f>
        <v>55939.9</v>
      </c>
      <c r="LG73" s="4">
        <f t="shared" ref="LG73" si="414">LG68/KX68</f>
        <v>49455.09</v>
      </c>
      <c r="LH73" s="4">
        <f t="shared" ref="LH73" si="415">LH68/KY68</f>
        <v>51785.08</v>
      </c>
      <c r="LI73" s="4">
        <f t="shared" ref="LI73" si="416">LI68/KZ68</f>
        <v>55321.43</v>
      </c>
      <c r="LJ73" s="4">
        <f t="shared" ref="LJ73" si="417">LJ68/LA68</f>
        <v>54518.14</v>
      </c>
      <c r="LV73" s="4">
        <f t="shared" ref="LV73:MB73" si="418">LV68/LN68</f>
        <v>40349.589999999997</v>
      </c>
      <c r="LW73" s="4">
        <f t="shared" si="418"/>
        <v>51952.32</v>
      </c>
      <c r="LX73" s="4">
        <f t="shared" si="418"/>
        <v>51817.35</v>
      </c>
      <c r="LY73" s="4">
        <f t="shared" si="418"/>
        <v>47822.61</v>
      </c>
      <c r="LZ73" s="4">
        <f t="shared" si="418"/>
        <v>50208.42</v>
      </c>
      <c r="MA73" s="4">
        <f t="shared" si="418"/>
        <v>63800</v>
      </c>
      <c r="MB73" s="4">
        <f t="shared" si="418"/>
        <v>44887.3</v>
      </c>
      <c r="MN73" s="4">
        <f t="shared" ref="MN73:MT73" si="419">MN68/MF68</f>
        <v>45962.77</v>
      </c>
      <c r="MO73" s="4">
        <f t="shared" si="419"/>
        <v>54243.86</v>
      </c>
      <c r="MP73" s="4">
        <f t="shared" si="419"/>
        <v>48185.58</v>
      </c>
      <c r="MQ73" s="4">
        <f t="shared" si="419"/>
        <v>45816.49</v>
      </c>
      <c r="MR73" s="4">
        <f t="shared" si="419"/>
        <v>66216.3</v>
      </c>
      <c r="MS73" s="4">
        <f t="shared" si="419"/>
        <v>80756.94</v>
      </c>
      <c r="MT73" s="4">
        <f t="shared" si="419"/>
        <v>45799.58</v>
      </c>
      <c r="NF73" s="4" t="e">
        <f t="shared" ref="NF73:NL73" si="420">NF68/MX68</f>
        <v>#DIV/0!</v>
      </c>
      <c r="NG73" s="4">
        <f t="shared" si="420"/>
        <v>52274.36</v>
      </c>
      <c r="NH73" s="4">
        <f t="shared" si="420"/>
        <v>45129.84</v>
      </c>
      <c r="NI73" s="4">
        <f t="shared" si="420"/>
        <v>46116.67</v>
      </c>
      <c r="NJ73" s="4" t="e">
        <f t="shared" si="420"/>
        <v>#DIV/0!</v>
      </c>
      <c r="NK73" s="4" t="e">
        <f t="shared" si="420"/>
        <v>#DIV/0!</v>
      </c>
      <c r="NL73" s="4">
        <f t="shared" si="420"/>
        <v>47053.19</v>
      </c>
      <c r="NV73" s="4" t="e">
        <f>NV68/NP68</f>
        <v>#DIV/0!</v>
      </c>
      <c r="NW73" s="4">
        <f>NW68/NQ68</f>
        <v>49419.96</v>
      </c>
      <c r="NX73" s="4" t="e">
        <f>NX68/NR68</f>
        <v>#DIV/0!</v>
      </c>
      <c r="NY73" s="4" t="e">
        <f>NY68/NS68</f>
        <v>#DIV/0!</v>
      </c>
      <c r="NZ73" s="4">
        <f>NZ68/NT68</f>
        <v>51750</v>
      </c>
      <c r="OJ73" s="4" t="e">
        <f>OJ68/OD68</f>
        <v>#DIV/0!</v>
      </c>
      <c r="OK73" s="4">
        <f>OK68/OE68</f>
        <v>49859.199999999997</v>
      </c>
      <c r="OL73" s="4" t="e">
        <f>OL68/OF68</f>
        <v>#DIV/0!</v>
      </c>
      <c r="OM73" s="4" t="e">
        <f>OM68/OG68</f>
        <v>#DIV/0!</v>
      </c>
      <c r="ON73" s="4">
        <f>ON68/OH68</f>
        <v>51346.2</v>
      </c>
      <c r="OX73" s="4" t="e">
        <f>OX68/OR68</f>
        <v>#DIV/0!</v>
      </c>
      <c r="OY73" s="4">
        <f>OY68/OS68</f>
        <v>52095.03</v>
      </c>
      <c r="OZ73" s="4" t="e">
        <f>OZ68/OT68</f>
        <v>#DIV/0!</v>
      </c>
      <c r="PA73" s="4" t="e">
        <f>PA68/OU68</f>
        <v>#DIV/0!</v>
      </c>
      <c r="PB73" s="4">
        <f>PB68/OV68</f>
        <v>49782.94</v>
      </c>
      <c r="PL73" s="4" t="e">
        <f>PL68/PF68</f>
        <v>#DIV/0!</v>
      </c>
      <c r="PM73" s="4" t="e">
        <f>PM68/PG68</f>
        <v>#DIV/0!</v>
      </c>
      <c r="PN73" s="4" t="e">
        <f>PN68/PH68</f>
        <v>#DIV/0!</v>
      </c>
      <c r="PO73" s="4" t="e">
        <f>PO68/PI68</f>
        <v>#DIV/0!</v>
      </c>
      <c r="PP73" s="4">
        <f>PP68/PJ68</f>
        <v>49500</v>
      </c>
    </row>
    <row r="74" spans="2:435" x14ac:dyDescent="0.2">
      <c r="NV74" s="10"/>
      <c r="NX74" s="4"/>
    </row>
    <row r="75" spans="2:435" x14ac:dyDescent="0.2">
      <c r="CZ75" s="4"/>
      <c r="NG75" s="10"/>
      <c r="NH75" s="625"/>
      <c r="NV75" s="10"/>
      <c r="NW75" s="4"/>
      <c r="OJ75" s="10"/>
      <c r="OX75" s="10"/>
      <c r="OY75" s="625"/>
      <c r="PL75" s="10"/>
      <c r="PM75" s="625"/>
    </row>
    <row r="76" spans="2:435" x14ac:dyDescent="0.2">
      <c r="NH76" s="625"/>
      <c r="NV76" s="10"/>
      <c r="NW76" s="4"/>
      <c r="OK76" s="627"/>
      <c r="OY76" s="627"/>
      <c r="PM76" s="627"/>
    </row>
  </sheetData>
  <autoFilter ref="PS1:PS76"/>
  <mergeCells count="406">
    <mergeCell ref="IH3:IH4"/>
    <mergeCell ref="II3:II4"/>
    <mergeCell ref="IJ3:IJ4"/>
    <mergeCell ref="IK3:IK4"/>
    <mergeCell ref="IL3:IL4"/>
    <mergeCell ref="IM3:IM4"/>
    <mergeCell ref="HR3:HR4"/>
    <mergeCell ref="HS3:HS4"/>
    <mergeCell ref="HT3:HT4"/>
    <mergeCell ref="ID3:IE4"/>
    <mergeCell ref="IF3:IF4"/>
    <mergeCell ref="IG3:IG4"/>
    <mergeCell ref="IB3:IB4"/>
    <mergeCell ref="IC3:IC4"/>
    <mergeCell ref="HU3:HU4"/>
    <mergeCell ref="HV3:HW4"/>
    <mergeCell ref="HX3:HX4"/>
    <mergeCell ref="HY3:HY4"/>
    <mergeCell ref="HZ3:HZ4"/>
    <mergeCell ref="IA3:IA4"/>
    <mergeCell ref="HO3:HO4"/>
    <mergeCell ref="HP3:HP4"/>
    <mergeCell ref="HQ3:HQ4"/>
    <mergeCell ref="HI3:HI4"/>
    <mergeCell ref="HJ3:HJ4"/>
    <mergeCell ref="HK3:HK4"/>
    <mergeCell ref="GT3:GT4"/>
    <mergeCell ref="GX3:GX4"/>
    <mergeCell ref="GY3:GY4"/>
    <mergeCell ref="GZ3:GZ4"/>
    <mergeCell ref="HF3:HF4"/>
    <mergeCell ref="HG3:HG4"/>
    <mergeCell ref="HM3:HM4"/>
    <mergeCell ref="HN3:HN4"/>
    <mergeCell ref="HD3:HD4"/>
    <mergeCell ref="HE3:HE4"/>
    <mergeCell ref="HL3:HL4"/>
    <mergeCell ref="HH3:HH4"/>
    <mergeCell ref="G3:G4"/>
    <mergeCell ref="H3:H4"/>
    <mergeCell ref="B3:B4"/>
    <mergeCell ref="C3:C4"/>
    <mergeCell ref="D3:E4"/>
    <mergeCell ref="F3:F4"/>
    <mergeCell ref="S3:S4"/>
    <mergeCell ref="T3:T4"/>
    <mergeCell ref="I3:I4"/>
    <mergeCell ref="J3:J4"/>
    <mergeCell ref="K3:K4"/>
    <mergeCell ref="L3:L4"/>
    <mergeCell ref="M3:M4"/>
    <mergeCell ref="N3:N4"/>
    <mergeCell ref="O3:O4"/>
    <mergeCell ref="P3:P4"/>
    <mergeCell ref="Q3:Q4"/>
    <mergeCell ref="R3:R4"/>
    <mergeCell ref="AF3:AF4"/>
    <mergeCell ref="AG3:AG4"/>
    <mergeCell ref="U3:U4"/>
    <mergeCell ref="V3:W4"/>
    <mergeCell ref="X3:X4"/>
    <mergeCell ref="Y3:Y4"/>
    <mergeCell ref="Z3:Z4"/>
    <mergeCell ref="AA3:AA4"/>
    <mergeCell ref="AB3:AB4"/>
    <mergeCell ref="AC3:AC4"/>
    <mergeCell ref="AD3:AD4"/>
    <mergeCell ref="AE3:AE4"/>
    <mergeCell ref="AS3:AS4"/>
    <mergeCell ref="AT3:AT4"/>
    <mergeCell ref="AH3:AH4"/>
    <mergeCell ref="AI3:AI4"/>
    <mergeCell ref="AJ3:AJ4"/>
    <mergeCell ref="AK3:AK4"/>
    <mergeCell ref="AL3:AL4"/>
    <mergeCell ref="AM3:AM4"/>
    <mergeCell ref="AN3:AN4"/>
    <mergeCell ref="AO3:AO4"/>
    <mergeCell ref="AP3:AQ4"/>
    <mergeCell ref="AR3:AR4"/>
    <mergeCell ref="BE3:BE4"/>
    <mergeCell ref="BF3:BG4"/>
    <mergeCell ref="AU3:AU4"/>
    <mergeCell ref="AV3:AV4"/>
    <mergeCell ref="AW3:AW4"/>
    <mergeCell ref="AX3:AX4"/>
    <mergeCell ref="AY3:AY4"/>
    <mergeCell ref="AZ3:AZ4"/>
    <mergeCell ref="BA3:BA4"/>
    <mergeCell ref="BB3:BB4"/>
    <mergeCell ref="BC3:BC4"/>
    <mergeCell ref="BD3:BD4"/>
    <mergeCell ref="BR3:BR4"/>
    <mergeCell ref="BS3:BS4"/>
    <mergeCell ref="BH3:BH4"/>
    <mergeCell ref="BI3:BI4"/>
    <mergeCell ref="BJ3:BJ4"/>
    <mergeCell ref="BK3:BK4"/>
    <mergeCell ref="BL3:BL4"/>
    <mergeCell ref="BM3:BM4"/>
    <mergeCell ref="BN3:BN4"/>
    <mergeCell ref="BO3:BO4"/>
    <mergeCell ref="BP3:BP4"/>
    <mergeCell ref="BQ3:BQ4"/>
    <mergeCell ref="CE3:CE4"/>
    <mergeCell ref="CF3:CF4"/>
    <mergeCell ref="BT3:BT4"/>
    <mergeCell ref="BU3:BU4"/>
    <mergeCell ref="BV3:BV4"/>
    <mergeCell ref="BW3:BW4"/>
    <mergeCell ref="BX3:BY4"/>
    <mergeCell ref="BZ3:BZ4"/>
    <mergeCell ref="CA3:CA4"/>
    <mergeCell ref="CB3:CB4"/>
    <mergeCell ref="CC3:CC4"/>
    <mergeCell ref="CD3:CD4"/>
    <mergeCell ref="CR3:CR4"/>
    <mergeCell ref="CS3:CS4"/>
    <mergeCell ref="CG3:CG4"/>
    <mergeCell ref="CH3:CH4"/>
    <mergeCell ref="CI3:CI4"/>
    <mergeCell ref="CJ3:CJ4"/>
    <mergeCell ref="CK3:CK4"/>
    <mergeCell ref="CL3:CL4"/>
    <mergeCell ref="CM3:CM4"/>
    <mergeCell ref="CN3:CN4"/>
    <mergeCell ref="CO3:CO4"/>
    <mergeCell ref="CP3:CQ4"/>
    <mergeCell ref="DD3:DD4"/>
    <mergeCell ref="DE3:DE4"/>
    <mergeCell ref="CT3:CT4"/>
    <mergeCell ref="CU3:CU4"/>
    <mergeCell ref="CV3:CV4"/>
    <mergeCell ref="CW3:CW4"/>
    <mergeCell ref="CX3:CX4"/>
    <mergeCell ref="CY3:CY4"/>
    <mergeCell ref="CZ3:CZ4"/>
    <mergeCell ref="DA3:DA4"/>
    <mergeCell ref="DB3:DB4"/>
    <mergeCell ref="DC3:DC4"/>
    <mergeCell ref="DQ3:DQ4"/>
    <mergeCell ref="DR3:DR4"/>
    <mergeCell ref="DF3:DF4"/>
    <mergeCell ref="DG3:DG4"/>
    <mergeCell ref="DH3:DI4"/>
    <mergeCell ref="DJ3:DJ4"/>
    <mergeCell ref="DK3:DK4"/>
    <mergeCell ref="DL3:DL4"/>
    <mergeCell ref="DM3:DM4"/>
    <mergeCell ref="DN3:DN4"/>
    <mergeCell ref="DO3:DO4"/>
    <mergeCell ref="DP3:DP4"/>
    <mergeCell ref="ED3:ED4"/>
    <mergeCell ref="EE3:EE4"/>
    <mergeCell ref="DS3:DS4"/>
    <mergeCell ref="DT3:DT4"/>
    <mergeCell ref="DU3:DU4"/>
    <mergeCell ref="DV3:DV4"/>
    <mergeCell ref="DW3:DW4"/>
    <mergeCell ref="DX3:DX4"/>
    <mergeCell ref="DY3:DY4"/>
    <mergeCell ref="DZ3:EA4"/>
    <mergeCell ref="EB3:EB4"/>
    <mergeCell ref="EC3:EC4"/>
    <mergeCell ref="EP3:EQ4"/>
    <mergeCell ref="ER3:ER4"/>
    <mergeCell ref="EF3:EF4"/>
    <mergeCell ref="EG3:EG4"/>
    <mergeCell ref="EH3:EH4"/>
    <mergeCell ref="EI3:EI4"/>
    <mergeCell ref="EJ3:EJ4"/>
    <mergeCell ref="EK3:EK4"/>
    <mergeCell ref="EL3:EL4"/>
    <mergeCell ref="EM3:EM4"/>
    <mergeCell ref="EN3:EN4"/>
    <mergeCell ref="EO3:EO4"/>
    <mergeCell ref="FD3:FD4"/>
    <mergeCell ref="FE3:FE4"/>
    <mergeCell ref="ES3:ES4"/>
    <mergeCell ref="ET3:ET4"/>
    <mergeCell ref="EU3:EU4"/>
    <mergeCell ref="EV3:EV4"/>
    <mergeCell ref="EW3:EW4"/>
    <mergeCell ref="EX3:EX4"/>
    <mergeCell ref="EY3:EY4"/>
    <mergeCell ref="EZ3:EZ4"/>
    <mergeCell ref="FA3:FA4"/>
    <mergeCell ref="FB3:FC4"/>
    <mergeCell ref="FS3:FS4"/>
    <mergeCell ref="FT3:FT4"/>
    <mergeCell ref="FF3:FF4"/>
    <mergeCell ref="FG3:FG4"/>
    <mergeCell ref="FH3:FH4"/>
    <mergeCell ref="FI3:FI4"/>
    <mergeCell ref="FJ3:FJ4"/>
    <mergeCell ref="FK3:FK4"/>
    <mergeCell ref="FL3:FM4"/>
    <mergeCell ref="FN3:FN4"/>
    <mergeCell ref="FO3:FO4"/>
    <mergeCell ref="FR3:FR4"/>
    <mergeCell ref="FQ3:FQ4"/>
    <mergeCell ref="FP3:FP4"/>
    <mergeCell ref="GM3:GM4"/>
    <mergeCell ref="GN3:GO4"/>
    <mergeCell ref="FU3:FU4"/>
    <mergeCell ref="FX3:FX4"/>
    <mergeCell ref="FY3:FY4"/>
    <mergeCell ref="FZ3:GA4"/>
    <mergeCell ref="GB3:GB4"/>
    <mergeCell ref="GC3:GC4"/>
    <mergeCell ref="GH3:GH4"/>
    <mergeCell ref="GI3:GI4"/>
    <mergeCell ref="GK3:GK4"/>
    <mergeCell ref="GL3:GL4"/>
    <mergeCell ref="FW3:FW4"/>
    <mergeCell ref="FV3:FV4"/>
    <mergeCell ref="GD3:GD4"/>
    <mergeCell ref="GE3:GE4"/>
    <mergeCell ref="GF3:GF4"/>
    <mergeCell ref="GG3:GG4"/>
    <mergeCell ref="GJ3:GJ4"/>
    <mergeCell ref="GP3:GP4"/>
    <mergeCell ref="GQ3:GQ4"/>
    <mergeCell ref="GU3:GU4"/>
    <mergeCell ref="GV3:GV4"/>
    <mergeCell ref="GR3:GR4"/>
    <mergeCell ref="GS3:GS4"/>
    <mergeCell ref="GW3:GW4"/>
    <mergeCell ref="HA3:HA4"/>
    <mergeCell ref="HB3:HC4"/>
    <mergeCell ref="IN3:IN4"/>
    <mergeCell ref="IX3:IX4"/>
    <mergeCell ref="IZ3:JA4"/>
    <mergeCell ref="JB3:JB4"/>
    <mergeCell ref="JC3:JC4"/>
    <mergeCell ref="JD3:JD4"/>
    <mergeCell ref="JE3:JE4"/>
    <mergeCell ref="JF3:JF4"/>
    <mergeCell ref="JG3:JG4"/>
    <mergeCell ref="IU3:IU4"/>
    <mergeCell ref="IV3:IV4"/>
    <mergeCell ref="IW3:IW4"/>
    <mergeCell ref="IY3:IY4"/>
    <mergeCell ref="IO3:IO4"/>
    <mergeCell ref="IP3:IP4"/>
    <mergeCell ref="IQ3:IQ4"/>
    <mergeCell ref="IR3:IR4"/>
    <mergeCell ref="IS3:IS4"/>
    <mergeCell ref="IT3:IT4"/>
    <mergeCell ref="JQ3:JQ4"/>
    <mergeCell ref="JR3:JR4"/>
    <mergeCell ref="JS3:JS4"/>
    <mergeCell ref="JT3:JT4"/>
    <mergeCell ref="JU3:JU4"/>
    <mergeCell ref="JH3:JH4"/>
    <mergeCell ref="JI3:JI4"/>
    <mergeCell ref="JJ3:JJ4"/>
    <mergeCell ref="JK3:JK4"/>
    <mergeCell ref="JL3:JL4"/>
    <mergeCell ref="JN3:JN4"/>
    <mergeCell ref="JO3:JO4"/>
    <mergeCell ref="JP3:JP4"/>
    <mergeCell ref="JM3:JM4"/>
    <mergeCell ref="KQ3:KQ4"/>
    <mergeCell ref="KF3:KF4"/>
    <mergeCell ref="KG3:KG4"/>
    <mergeCell ref="KH3:KH4"/>
    <mergeCell ref="KJ3:KJ4"/>
    <mergeCell ref="KK3:KK4"/>
    <mergeCell ref="KL3:KL4"/>
    <mergeCell ref="KM3:KM4"/>
    <mergeCell ref="JV3:JW4"/>
    <mergeCell ref="JX3:JX4"/>
    <mergeCell ref="JZ3:JZ4"/>
    <mergeCell ref="KA3:KA4"/>
    <mergeCell ref="KB3:KB4"/>
    <mergeCell ref="KC3:KC4"/>
    <mergeCell ref="KD3:KD4"/>
    <mergeCell ref="KE3:KE4"/>
    <mergeCell ref="LK3:LK4"/>
    <mergeCell ref="JY3:JY4"/>
    <mergeCell ref="KI3:KI4"/>
    <mergeCell ref="LB3:LB4"/>
    <mergeCell ref="LC3:LC4"/>
    <mergeCell ref="LD3:LD4"/>
    <mergeCell ref="LE3:LE4"/>
    <mergeCell ref="LF3:LF4"/>
    <mergeCell ref="LG3:LG4"/>
    <mergeCell ref="LH3:LH4"/>
    <mergeCell ref="LI3:LI4"/>
    <mergeCell ref="LJ3:LJ4"/>
    <mergeCell ref="KR3:KS4"/>
    <mergeCell ref="KT3:KT4"/>
    <mergeCell ref="KU3:KU4"/>
    <mergeCell ref="KV3:KV4"/>
    <mergeCell ref="KW3:KW4"/>
    <mergeCell ref="KX3:KX4"/>
    <mergeCell ref="KY3:KY4"/>
    <mergeCell ref="KZ3:KZ4"/>
    <mergeCell ref="LA3:LA4"/>
    <mergeCell ref="KN3:KN4"/>
    <mergeCell ref="KO3:KO4"/>
    <mergeCell ref="KP3:KP4"/>
    <mergeCell ref="LU3:LU4"/>
    <mergeCell ref="LV3:LV4"/>
    <mergeCell ref="LW3:LW4"/>
    <mergeCell ref="LX3:LX4"/>
    <mergeCell ref="LY3:LY4"/>
    <mergeCell ref="LZ3:LZ4"/>
    <mergeCell ref="MA3:MA4"/>
    <mergeCell ref="MB3:MB4"/>
    <mergeCell ref="LL3:LM4"/>
    <mergeCell ref="LN3:LN4"/>
    <mergeCell ref="LO3:LO4"/>
    <mergeCell ref="LP3:LP4"/>
    <mergeCell ref="LQ3:LQ4"/>
    <mergeCell ref="LR3:LR4"/>
    <mergeCell ref="LS3:LS4"/>
    <mergeCell ref="LT3:LT4"/>
    <mergeCell ref="MM3:MM4"/>
    <mergeCell ref="MN3:MN4"/>
    <mergeCell ref="MO3:MO4"/>
    <mergeCell ref="MP3:MP4"/>
    <mergeCell ref="MQ3:MQ4"/>
    <mergeCell ref="MS3:MS4"/>
    <mergeCell ref="MT3:MT4"/>
    <mergeCell ref="MU3:MU4"/>
    <mergeCell ref="MC3:MC4"/>
    <mergeCell ref="MD3:ME4"/>
    <mergeCell ref="MF3:MF4"/>
    <mergeCell ref="MG3:MG4"/>
    <mergeCell ref="MH3:MH4"/>
    <mergeCell ref="MI3:MI4"/>
    <mergeCell ref="MK3:MK4"/>
    <mergeCell ref="ML3:ML4"/>
    <mergeCell ref="MJ3:MJ4"/>
    <mergeCell ref="MR3:MR4"/>
    <mergeCell ref="NG3:NG4"/>
    <mergeCell ref="NH3:NH4"/>
    <mergeCell ref="NI3:NI4"/>
    <mergeCell ref="NK3:NK4"/>
    <mergeCell ref="NL3:NL4"/>
    <mergeCell ref="NM3:NM4"/>
    <mergeCell ref="MV3:MW4"/>
    <mergeCell ref="MX3:MX4"/>
    <mergeCell ref="MY3:MY4"/>
    <mergeCell ref="MZ3:MZ4"/>
    <mergeCell ref="NA3:NA4"/>
    <mergeCell ref="NC3:NC4"/>
    <mergeCell ref="ND3:ND4"/>
    <mergeCell ref="NE3:NE4"/>
    <mergeCell ref="NF3:NF4"/>
    <mergeCell ref="NB3:NB4"/>
    <mergeCell ref="NJ3:NJ4"/>
    <mergeCell ref="NV3:NV4"/>
    <mergeCell ref="NW3:NW4"/>
    <mergeCell ref="NX3:NX4"/>
    <mergeCell ref="NY3:NY4"/>
    <mergeCell ref="NZ3:NZ4"/>
    <mergeCell ref="OA3:OA4"/>
    <mergeCell ref="OB3:OC4"/>
    <mergeCell ref="NN3:NO4"/>
    <mergeCell ref="NP3:NP4"/>
    <mergeCell ref="NQ3:NQ4"/>
    <mergeCell ref="NR3:NR4"/>
    <mergeCell ref="NS3:NS4"/>
    <mergeCell ref="NT3:NT4"/>
    <mergeCell ref="NU3:NU4"/>
    <mergeCell ref="OD3:OD4"/>
    <mergeCell ref="OE3:OE4"/>
    <mergeCell ref="OF3:OF4"/>
    <mergeCell ref="OG3:OG4"/>
    <mergeCell ref="OH3:OH4"/>
    <mergeCell ref="OI3:OI4"/>
    <mergeCell ref="OJ3:OJ4"/>
    <mergeCell ref="OK3:OK4"/>
    <mergeCell ref="OL3:OL4"/>
    <mergeCell ref="OW3:OW4"/>
    <mergeCell ref="OX3:OX4"/>
    <mergeCell ref="OY3:OY4"/>
    <mergeCell ref="OZ3:OZ4"/>
    <mergeCell ref="PA3:PA4"/>
    <mergeCell ref="PB3:PB4"/>
    <mergeCell ref="PC3:PC4"/>
    <mergeCell ref="OM3:OM4"/>
    <mergeCell ref="ON3:ON4"/>
    <mergeCell ref="OO3:OO4"/>
    <mergeCell ref="OP3:OQ4"/>
    <mergeCell ref="OR3:OR4"/>
    <mergeCell ref="OS3:OS4"/>
    <mergeCell ref="OT3:OT4"/>
    <mergeCell ref="OU3:OU4"/>
    <mergeCell ref="OV3:OV4"/>
    <mergeCell ref="PN3:PN4"/>
    <mergeCell ref="PO3:PO4"/>
    <mergeCell ref="PP3:PP4"/>
    <mergeCell ref="PQ3:PQ4"/>
    <mergeCell ref="PD3:PE4"/>
    <mergeCell ref="PF3:PF4"/>
    <mergeCell ref="PG3:PG4"/>
    <mergeCell ref="PH3:PH4"/>
    <mergeCell ref="PI3:PI4"/>
    <mergeCell ref="PJ3:PJ4"/>
    <mergeCell ref="PK3:PK4"/>
    <mergeCell ref="PL3:PL4"/>
    <mergeCell ref="PM3:PM4"/>
  </mergeCells>
  <phoneticPr fontId="3" type="noConversion"/>
  <pageMargins left="0.15748031496062992" right="0.19685039370078741" top="0.15748031496062992" bottom="0.15748031496062992" header="0.31496062992125984" footer="0.31496062992125984"/>
  <pageSetup paperSize="9" scale="85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5</vt:i4>
      </vt:variant>
    </vt:vector>
  </HeadingPairs>
  <TitlesOfParts>
    <vt:vector size="20" baseType="lpstr">
      <vt:lpstr>КЗ на печать</vt:lpstr>
      <vt:lpstr>Пр 1.1 ЗП 2012</vt:lpstr>
      <vt:lpstr>Пр 1.2 ЗП 2013</vt:lpstr>
      <vt:lpstr>Пр 2 Расш накл расх</vt:lpstr>
      <vt:lpstr>КЗ</vt:lpstr>
      <vt:lpstr>По Настройке</vt:lpstr>
      <vt:lpstr>Накладные 20121129</vt:lpstr>
      <vt:lpstr>ФОТ 20121129</vt:lpstr>
      <vt:lpstr>По проектам 2011-2012</vt:lpstr>
      <vt:lpstr>Трудоемкость</vt:lpstr>
      <vt:lpstr>СЦ этапы</vt:lpstr>
      <vt:lpstr>Пр1 РасшФОТ (2)</vt:lpstr>
      <vt:lpstr>Пр2 РасшНАКЛ </vt:lpstr>
      <vt:lpstr>ЭкПоказатели</vt:lpstr>
      <vt:lpstr>Лист7</vt:lpstr>
      <vt:lpstr>'КЗ на печать'!Область_печати</vt:lpstr>
      <vt:lpstr>'Пр 1.2 ЗП 2013'!Область_печати</vt:lpstr>
      <vt:lpstr>'Пр2 РасшНАКЛ '!Область_печати</vt:lpstr>
      <vt:lpstr>'СЦ этапы'!Область_печати</vt:lpstr>
      <vt:lpstr>ЭкПоказатели!Область_печати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marina</dc:creator>
  <cp:lastModifiedBy>Administrator</cp:lastModifiedBy>
  <cp:lastPrinted>2012-12-05T09:23:39Z</cp:lastPrinted>
  <dcterms:created xsi:type="dcterms:W3CDTF">2010-04-01T09:43:46Z</dcterms:created>
  <dcterms:modified xsi:type="dcterms:W3CDTF">2012-12-15T19:14:07Z</dcterms:modified>
</cp:coreProperties>
</file>